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ca.sharepoint.com/Shared Documents/Planning/Northern South Park/Neighborhood Planning/Research/Norton proposal/"/>
    </mc:Choice>
  </mc:AlternateContent>
  <xr:revisionPtr revIDLastSave="0" documentId="8_{3A0CC20E-CB66-47BE-A2EA-C2BF486E81EA}" xr6:coauthVersionLast="45" xr6:coauthVersionMax="45" xr10:uidLastSave="{00000000-0000-0000-0000-000000000000}"/>
  <bookViews>
    <workbookView xWindow="-110" yWindow="-110" windowWidth="21820" windowHeight="14020" xr2:uid="{A48EF7AE-8C6A-415E-AE6C-8308773136D6}"/>
  </bookViews>
  <sheets>
    <sheet name="Future Value Analysis" sheetId="1" r:id="rId1"/>
    <sheet name="Employees Generated vs. Housed" sheetId="3" r:id="rId2"/>
    <sheet name="Prop Tax Growth (Value Proxy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1" l="1"/>
  <c r="G57" i="1"/>
  <c r="E57" i="1"/>
  <c r="D13" i="1" l="1"/>
  <c r="G9" i="1" s="1"/>
  <c r="F10" i="3" l="1"/>
  <c r="F11" i="3" s="1"/>
  <c r="F5" i="3"/>
  <c r="F6" i="3" s="1"/>
  <c r="G43" i="1"/>
  <c r="D43" i="1"/>
  <c r="J49" i="1" s="1"/>
  <c r="E40" i="1"/>
  <c r="J20" i="1"/>
  <c r="F89" i="1" s="1"/>
  <c r="J19" i="1"/>
  <c r="E39" i="1" s="1"/>
  <c r="J28" i="1" l="1"/>
  <c r="E37" i="1"/>
  <c r="E38" i="1"/>
  <c r="E92" i="1" l="1"/>
  <c r="D42" i="1" s="1"/>
  <c r="F93" i="1"/>
  <c r="F92" i="1"/>
  <c r="E42" i="1" s="1"/>
  <c r="K42" i="1" s="1"/>
  <c r="D92" i="1"/>
  <c r="G42" i="1" s="1"/>
  <c r="K83" i="1"/>
  <c r="I83" i="1"/>
  <c r="G83" i="1"/>
  <c r="E83" i="1"/>
  <c r="K56" i="1"/>
  <c r="I56" i="1"/>
  <c r="G56" i="1"/>
  <c r="E56" i="1"/>
  <c r="J96" i="1" l="1"/>
  <c r="J93" i="1"/>
  <c r="F43" i="1"/>
  <c r="K43" i="1" s="1"/>
  <c r="H90" i="1"/>
  <c r="J92" i="1"/>
  <c r="J94" i="1" l="1"/>
  <c r="J98" i="1"/>
  <c r="E48" i="1"/>
  <c r="K48" i="1" s="1"/>
  <c r="J97" i="1"/>
  <c r="J99" i="1" s="1"/>
  <c r="E28" i="1" l="1"/>
  <c r="G19" i="1"/>
  <c r="E27" i="1" l="1"/>
  <c r="J27" i="1"/>
  <c r="J29" i="1" s="1"/>
  <c r="I6" i="1"/>
  <c r="M6" i="1" s="1"/>
  <c r="I7" i="1"/>
  <c r="I8" i="1"/>
  <c r="I5" i="1"/>
  <c r="M5" i="1" s="1"/>
  <c r="E29" i="1" l="1"/>
  <c r="E78" i="1" l="1"/>
  <c r="G78" i="1"/>
  <c r="I78" i="1"/>
  <c r="K78" i="1"/>
  <c r="J10" i="2" l="1"/>
  <c r="J11" i="2"/>
  <c r="J12" i="2"/>
  <c r="J13" i="2"/>
  <c r="J14" i="2"/>
  <c r="J15" i="2"/>
  <c r="J16" i="2"/>
  <c r="J17" i="2"/>
  <c r="J18" i="2"/>
  <c r="J9" i="2"/>
  <c r="G19" i="2"/>
  <c r="K10" i="2"/>
  <c r="K11" i="2"/>
  <c r="K12" i="2"/>
  <c r="K13" i="2"/>
  <c r="K14" i="2"/>
  <c r="K15" i="2"/>
  <c r="K16" i="2"/>
  <c r="K17" i="2"/>
  <c r="K18" i="2"/>
  <c r="K9" i="2"/>
  <c r="K19" i="2" l="1"/>
  <c r="J19" i="2"/>
  <c r="L9" i="1"/>
  <c r="O9" i="1" s="1"/>
  <c r="F8" i="3" s="1"/>
  <c r="G8" i="3" s="1"/>
  <c r="L10" i="1"/>
  <c r="O10" i="1" s="1"/>
  <c r="L11" i="1"/>
  <c r="O11" i="1" s="1"/>
  <c r="L5" i="1"/>
  <c r="O5" i="1" s="1"/>
  <c r="D36" i="1" s="1"/>
  <c r="L6" i="1"/>
  <c r="O6" i="1" s="1"/>
  <c r="D39" i="1" s="1"/>
  <c r="K7" i="1"/>
  <c r="I13" i="1"/>
  <c r="J7" i="1" s="1"/>
  <c r="K12" i="1" l="1"/>
  <c r="L12" i="1" s="1"/>
  <c r="O12" i="1" s="1"/>
  <c r="M7" i="1"/>
  <c r="L7" i="1"/>
  <c r="O7" i="1" s="1"/>
  <c r="D40" i="1" s="1"/>
  <c r="M63" i="1" s="1"/>
  <c r="J5" i="1"/>
  <c r="M13" i="1"/>
  <c r="N13" i="1" s="1"/>
  <c r="J8" i="1"/>
  <c r="J6" i="1"/>
  <c r="N6" i="1" l="1"/>
  <c r="G39" i="1" s="1"/>
  <c r="N7" i="1"/>
  <c r="N8" i="1"/>
  <c r="N5" i="1"/>
  <c r="G38" i="1" s="1"/>
  <c r="G85" i="1"/>
  <c r="E85" i="1"/>
  <c r="K57" i="1"/>
  <c r="K85" i="1"/>
  <c r="I85" i="1"/>
  <c r="E11" i="3" l="1"/>
  <c r="E6" i="3"/>
  <c r="G6" i="3" s="1"/>
  <c r="H39" i="1"/>
  <c r="K39" i="1"/>
  <c r="G40" i="1"/>
  <c r="M61" i="1"/>
  <c r="G36" i="1"/>
  <c r="I80" i="1"/>
  <c r="E80" i="1"/>
  <c r="K80" i="1"/>
  <c r="G80" i="1"/>
  <c r="I49" i="1" l="1"/>
  <c r="E12" i="3"/>
  <c r="H12" i="3" s="1"/>
  <c r="G11" i="3"/>
  <c r="H11" i="3"/>
  <c r="G61" i="1"/>
  <c r="G68" i="1" s="1"/>
  <c r="G67" i="1" s="1"/>
  <c r="I61" i="1"/>
  <c r="I68" i="1" s="1"/>
  <c r="I67" i="1" s="1"/>
  <c r="K61" i="1"/>
  <c r="K68" i="1" s="1"/>
  <c r="K67" i="1" s="1"/>
  <c r="E61" i="1"/>
  <c r="E68" i="1" s="1"/>
  <c r="G7" i="1"/>
  <c r="E8" i="1"/>
  <c r="C13" i="1"/>
  <c r="F7" i="1" s="1"/>
  <c r="E7" i="1"/>
  <c r="E5" i="1"/>
  <c r="E6" i="1"/>
  <c r="E7" i="3" l="1"/>
  <c r="E10" i="3"/>
  <c r="M64" i="1"/>
  <c r="M62" i="1" s="1"/>
  <c r="F12" i="3"/>
  <c r="G12" i="3" s="1"/>
  <c r="F7" i="3"/>
  <c r="G7" i="3" s="1"/>
  <c r="K36" i="1"/>
  <c r="M68" i="1"/>
  <c r="E67" i="1"/>
  <c r="M67" i="1" s="1"/>
  <c r="G13" i="1"/>
  <c r="G6" i="1"/>
  <c r="G5" i="1"/>
  <c r="E13" i="1"/>
  <c r="F8" i="1"/>
  <c r="G8" i="1"/>
  <c r="F5" i="1"/>
  <c r="F6" i="1"/>
  <c r="F13" i="1"/>
  <c r="G10" i="3" l="1"/>
  <c r="H10" i="3"/>
  <c r="H13" i="3" s="1"/>
  <c r="E5" i="3"/>
  <c r="G5" i="3" s="1"/>
  <c r="M75" i="1"/>
  <c r="M73" i="1"/>
  <c r="E14" i="3" l="1"/>
  <c r="K40" i="1"/>
  <c r="K49" i="1" s="1"/>
  <c r="K50" i="1" s="1"/>
  <c r="D37" i="1" l="1"/>
  <c r="D38" i="1" l="1"/>
  <c r="E49" i="1" s="1"/>
  <c r="I50" i="1" s="1"/>
  <c r="H38" i="1" l="1"/>
  <c r="G13" i="3" l="1"/>
  <c r="H15" i="3" s="1"/>
  <c r="H16" i="3" l="1"/>
</calcChain>
</file>

<file path=xl/sharedStrings.xml><?xml version="1.0" encoding="utf-8"?>
<sst xmlns="http://schemas.openxmlformats.org/spreadsheetml/2006/main" count="163" uniqueCount="116">
  <si>
    <t>Units</t>
  </si>
  <si>
    <t>DSFD</t>
  </si>
  <si>
    <t>ASFD</t>
  </si>
  <si>
    <t>Apt</t>
  </si>
  <si>
    <t>FA</t>
  </si>
  <si>
    <t>Total</t>
  </si>
  <si>
    <t>Co. ARUs</t>
  </si>
  <si>
    <t>Unit Size</t>
  </si>
  <si>
    <t>Unit %</t>
  </si>
  <si>
    <t>FA %</t>
  </si>
  <si>
    <t>Suburban</t>
  </si>
  <si>
    <t>R1</t>
  </si>
  <si>
    <t>Acres</t>
  </si>
  <si>
    <t>22-40-16-06-3-00-016</t>
  </si>
  <si>
    <t>22-40-16-06-4-00-007</t>
  </si>
  <si>
    <t>22-40-16-05-3-00-014</t>
  </si>
  <si>
    <t>22-40-16-06-3-00-017</t>
  </si>
  <si>
    <t>Ag V-VIII</t>
  </si>
  <si>
    <t>Ag IV</t>
  </si>
  <si>
    <t>22-40-16-06-3-00-005</t>
  </si>
  <si>
    <t>Residential</t>
  </si>
  <si>
    <t>22-40-16-06-3-00-012</t>
  </si>
  <si>
    <t>22-40-16-06-3-00-015</t>
  </si>
  <si>
    <t>Value</t>
  </si>
  <si>
    <t>Lot Size</t>
  </si>
  <si>
    <t>NL-3</t>
  </si>
  <si>
    <t>Vacancy</t>
  </si>
  <si>
    <t>Park</t>
  </si>
  <si>
    <t>Church</t>
  </si>
  <si>
    <t>Road Lots</t>
  </si>
  <si>
    <t>Remainder (Roads)</t>
  </si>
  <si>
    <t>Cost</t>
  </si>
  <si>
    <t>Land</t>
  </si>
  <si>
    <t>Transaction</t>
  </si>
  <si>
    <t>Revenue</t>
  </si>
  <si>
    <t>Construction</t>
  </si>
  <si>
    <t>per sf</t>
  </si>
  <si>
    <t>Comp Plan Density Analysis</t>
  </si>
  <si>
    <t>Unbuilt</t>
  </si>
  <si>
    <t>Total Density</t>
  </si>
  <si>
    <t>Subarea 5.5</t>
  </si>
  <si>
    <t>Built as of 1/1/2017</t>
  </si>
  <si>
    <t>Subarea 5.6</t>
  </si>
  <si>
    <t>Public, semi-public use doesn't have to be religious in NSP, could be education or other</t>
  </si>
  <si>
    <t>Units/Ac</t>
  </si>
  <si>
    <t>Current Value Analysis</t>
  </si>
  <si>
    <t>Per Ac. Value</t>
  </si>
  <si>
    <t>Parks/roads/etc.</t>
  </si>
  <si>
    <t>Design/approvals</t>
  </si>
  <si>
    <t>Appreciation</t>
  </si>
  <si>
    <t>Inflation</t>
  </si>
  <si>
    <t>2011-2019</t>
  </si>
  <si>
    <t>Cost Assumptions</t>
  </si>
  <si>
    <t>Single Family</t>
  </si>
  <si>
    <t>Townhome</t>
  </si>
  <si>
    <t>Apartment</t>
  </si>
  <si>
    <t>Transaction costs</t>
  </si>
  <si>
    <t>Per lot infrastructure</t>
  </si>
  <si>
    <t>Future Value Analysis</t>
  </si>
  <si>
    <t>Affordability Variables</t>
  </si>
  <si>
    <t>Affordability</t>
  </si>
  <si>
    <t>Affordable rent+utilities</t>
  </si>
  <si>
    <t>Affordable home price</t>
  </si>
  <si>
    <t>Housing need distribution</t>
  </si>
  <si>
    <t>3 person household Income</t>
  </si>
  <si>
    <t>Median income</t>
  </si>
  <si>
    <t>Cap Rate</t>
  </si>
  <si>
    <t>Rent</t>
  </si>
  <si>
    <t>Annual maintenance</t>
  </si>
  <si>
    <t>Initial Cost</t>
  </si>
  <si>
    <t>Design/Planning</t>
  </si>
  <si>
    <t>$/sf</t>
  </si>
  <si>
    <t>Annual revenue</t>
  </si>
  <si>
    <t>Annual cost</t>
  </si>
  <si>
    <t>Land value discount</t>
  </si>
  <si>
    <t>Actual</t>
  </si>
  <si>
    <t>Expected</t>
  </si>
  <si>
    <t>% Resticted</t>
  </si>
  <si>
    <t>Construction cost</t>
  </si>
  <si>
    <t>Unit size (sf)</t>
  </si>
  <si>
    <t>Per unit land value</t>
  </si>
  <si>
    <t>Triplex</t>
  </si>
  <si>
    <t>Conservation acreage</t>
  </si>
  <si>
    <t>Opportunity cost</t>
  </si>
  <si>
    <t>2020 value</t>
  </si>
  <si>
    <t>Conserved land</t>
  </si>
  <si>
    <t>Additional CN-PRD</t>
  </si>
  <si>
    <t>Conservation</t>
  </si>
  <si>
    <t>2020 Estimate</t>
  </si>
  <si>
    <t>Future Scenario</t>
  </si>
  <si>
    <t>Landowner Value</t>
  </si>
  <si>
    <t>yes</t>
  </si>
  <si>
    <t>? Conserved</t>
  </si>
  <si>
    <t>Conserved R-1</t>
  </si>
  <si>
    <t>Market</t>
  </si>
  <si>
    <t>Detached Single Family</t>
  </si>
  <si>
    <t>Restricted</t>
  </si>
  <si>
    <t>Employees</t>
  </si>
  <si>
    <t>Generated</t>
  </si>
  <si>
    <t>Housed</t>
  </si>
  <si>
    <t>Public/Semi-Public</t>
  </si>
  <si>
    <t xml:space="preserve">Attached Single Family </t>
  </si>
  <si>
    <t>x as many employees housed as generated</t>
  </si>
  <si>
    <t>% restricted</t>
  </si>
  <si>
    <t>more employees housed than generated</t>
  </si>
  <si>
    <t>PIDN</t>
  </si>
  <si>
    <t>Tax Class</t>
  </si>
  <si>
    <t>Taxes</t>
  </si>
  <si>
    <t>Total w/o Residential</t>
  </si>
  <si>
    <t>CAGR</t>
  </si>
  <si>
    <t>Increased Value over Current</t>
  </si>
  <si>
    <t>Employees Generated vs. Housed</t>
  </si>
  <si>
    <t xml:space="preserve">Housing Gain </t>
  </si>
  <si>
    <t>Housing Gain Ratio</t>
  </si>
  <si>
    <t>Northern South Park Property Taxes</t>
  </si>
  <si>
    <t>Wildlife Corridor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</si>
</sst>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entury Gothic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9" fontId="0" fillId="0" borderId="0" xfId="1" applyFont="1"/>
    <xf numFmtId="1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9" fontId="0" fillId="0" borderId="0" xfId="0" applyNumberFormat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3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7" xfId="0" applyBorder="1"/>
    <xf numFmtId="1" fontId="0" fillId="0" borderId="7" xfId="0" applyNumberFormat="1" applyBorder="1"/>
    <xf numFmtId="9" fontId="0" fillId="0" borderId="7" xfId="1" applyFont="1" applyBorder="1"/>
    <xf numFmtId="0" fontId="0" fillId="0" borderId="8" xfId="0" applyBorder="1"/>
    <xf numFmtId="1" fontId="0" fillId="0" borderId="8" xfId="0" applyNumberFormat="1" applyBorder="1"/>
    <xf numFmtId="9" fontId="0" fillId="0" borderId="8" xfId="1" applyFont="1" applyBorder="1"/>
    <xf numFmtId="0" fontId="0" fillId="0" borderId="9" xfId="0" applyBorder="1"/>
    <xf numFmtId="1" fontId="0" fillId="0" borderId="3" xfId="0" applyNumberFormat="1" applyBorder="1"/>
    <xf numFmtId="9" fontId="0" fillId="0" borderId="3" xfId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3" fillId="0" borderId="14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7" xfId="0" applyNumberFormat="1" applyFont="1" applyBorder="1"/>
    <xf numFmtId="0" fontId="2" fillId="0" borderId="7" xfId="0" applyFont="1" applyBorder="1"/>
    <xf numFmtId="1" fontId="2" fillId="0" borderId="8" xfId="0" applyNumberFormat="1" applyFont="1" applyBorder="1"/>
    <xf numFmtId="0" fontId="2" fillId="0" borderId="8" xfId="0" applyFont="1" applyBorder="1"/>
    <xf numFmtId="1" fontId="2" fillId="0" borderId="9" xfId="0" applyNumberFormat="1" applyFont="1" applyBorder="1"/>
    <xf numFmtId="0" fontId="2" fillId="0" borderId="9" xfId="0" applyFont="1" applyBorder="1"/>
    <xf numFmtId="1" fontId="2" fillId="0" borderId="3" xfId="0" applyNumberFormat="1" applyFont="1" applyBorder="1"/>
    <xf numFmtId="164" fontId="0" fillId="0" borderId="0" xfId="2" applyNumberFormat="1" applyFont="1" applyAlignment="1">
      <alignment horizontal="center"/>
    </xf>
    <xf numFmtId="10" fontId="0" fillId="0" borderId="8" xfId="0" applyNumberFormat="1" applyBorder="1"/>
    <xf numFmtId="10" fontId="0" fillId="0" borderId="9" xfId="0" applyNumberFormat="1" applyBorder="1"/>
    <xf numFmtId="164" fontId="0" fillId="0" borderId="8" xfId="0" applyNumberFormat="1" applyBorder="1" applyAlignment="1"/>
    <xf numFmtId="0" fontId="0" fillId="0" borderId="16" xfId="0" applyBorder="1"/>
    <xf numFmtId="164" fontId="0" fillId="0" borderId="9" xfId="0" applyNumberFormat="1" applyBorder="1" applyAlignment="1"/>
    <xf numFmtId="0" fontId="0" fillId="0" borderId="16" xfId="0" applyBorder="1" applyAlignment="1">
      <alignment horizontal="right"/>
    </xf>
    <xf numFmtId="9" fontId="0" fillId="0" borderId="0" xfId="0" applyNumberFormat="1" applyBorder="1"/>
    <xf numFmtId="164" fontId="0" fillId="0" borderId="16" xfId="2" applyNumberFormat="1" applyFon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Fill="1" applyBorder="1"/>
    <xf numFmtId="0" fontId="0" fillId="0" borderId="8" xfId="0" applyFill="1" applyBorder="1"/>
    <xf numFmtId="0" fontId="0" fillId="0" borderId="14" xfId="0" applyFill="1" applyBorder="1"/>
    <xf numFmtId="9" fontId="0" fillId="0" borderId="8" xfId="0" applyNumberFormat="1" applyBorder="1"/>
    <xf numFmtId="9" fontId="0" fillId="0" borderId="11" xfId="0" applyNumberFormat="1" applyBorder="1"/>
    <xf numFmtId="164" fontId="0" fillId="0" borderId="15" xfId="2" applyNumberFormat="1" applyFont="1" applyBorder="1" applyAlignment="1">
      <alignment horizontal="center"/>
    </xf>
    <xf numFmtId="164" fontId="0" fillId="0" borderId="12" xfId="2" applyNumberFormat="1" applyFont="1" applyBorder="1" applyAlignment="1">
      <alignment horizontal="center"/>
    </xf>
    <xf numFmtId="1" fontId="0" fillId="0" borderId="14" xfId="2" applyNumberFormat="1" applyFont="1" applyBorder="1" applyAlignment="1">
      <alignment horizontal="right"/>
    </xf>
    <xf numFmtId="1" fontId="0" fillId="0" borderId="11" xfId="2" applyNumberFormat="1" applyFont="1" applyBorder="1" applyAlignment="1">
      <alignment horizontal="right"/>
    </xf>
    <xf numFmtId="3" fontId="0" fillId="0" borderId="14" xfId="0" applyNumberFormat="1" applyBorder="1"/>
    <xf numFmtId="0" fontId="3" fillId="0" borderId="15" xfId="0" applyFont="1" applyBorder="1"/>
    <xf numFmtId="9" fontId="0" fillId="0" borderId="4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12" xfId="0" applyNumberFormat="1" applyBorder="1"/>
    <xf numFmtId="3" fontId="0" fillId="0" borderId="15" xfId="0" applyNumberFormat="1" applyBorder="1"/>
    <xf numFmtId="9" fontId="0" fillId="0" borderId="13" xfId="0" applyNumberFormat="1" applyBorder="1"/>
    <xf numFmtId="3" fontId="0" fillId="0" borderId="10" xfId="0" applyNumberFormat="1" applyBorder="1"/>
    <xf numFmtId="3" fontId="0" fillId="0" borderId="13" xfId="0" applyNumberFormat="1" applyBorder="1"/>
    <xf numFmtId="3" fontId="0" fillId="0" borderId="8" xfId="0" applyNumberFormat="1" applyBorder="1"/>
    <xf numFmtId="9" fontId="0" fillId="0" borderId="16" xfId="0" applyNumberFormat="1" applyBorder="1"/>
    <xf numFmtId="9" fontId="0" fillId="0" borderId="13" xfId="1" applyFont="1" applyBorder="1"/>
    <xf numFmtId="9" fontId="0" fillId="0" borderId="10" xfId="1" applyFont="1" applyBorder="1"/>
    <xf numFmtId="3" fontId="0" fillId="0" borderId="9" xfId="0" applyNumberFormat="1" applyBorder="1"/>
    <xf numFmtId="3" fontId="0" fillId="0" borderId="7" xfId="0" applyNumberFormat="1" applyBorder="1"/>
    <xf numFmtId="164" fontId="0" fillId="0" borderId="0" xfId="2" applyNumberFormat="1" applyFont="1" applyBorder="1" applyAlignment="1"/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14" xfId="2" applyNumberFormat="1" applyFont="1" applyBorder="1" applyAlignment="1">
      <alignment horizontal="center"/>
    </xf>
    <xf numFmtId="164" fontId="0" fillId="0" borderId="11" xfId="2" applyNumberFormat="1" applyFont="1" applyBorder="1" applyAlignment="1">
      <alignment horizontal="center"/>
    </xf>
    <xf numFmtId="164" fontId="0" fillId="0" borderId="0" xfId="0" applyNumberFormat="1"/>
    <xf numFmtId="44" fontId="0" fillId="0" borderId="0" xfId="0" applyNumberFormat="1"/>
    <xf numFmtId="0" fontId="0" fillId="0" borderId="0" xfId="0" applyFill="1"/>
    <xf numFmtId="164" fontId="0" fillId="0" borderId="0" xfId="0" applyNumberFormat="1" applyFill="1" applyBorder="1"/>
    <xf numFmtId="9" fontId="2" fillId="0" borderId="3" xfId="1" applyNumberFormat="1" applyFont="1" applyBorder="1"/>
    <xf numFmtId="0" fontId="0" fillId="0" borderId="11" xfId="0" applyFill="1" applyBorder="1"/>
    <xf numFmtId="0" fontId="0" fillId="0" borderId="15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0" xfId="0" applyFill="1" applyBorder="1"/>
    <xf numFmtId="0" fontId="0" fillId="0" borderId="17" xfId="0" applyBorder="1"/>
    <xf numFmtId="0" fontId="0" fillId="0" borderId="18" xfId="0" applyBorder="1"/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9" fontId="0" fillId="0" borderId="0" xfId="0" applyNumberFormat="1" applyFill="1" applyBorder="1"/>
    <xf numFmtId="44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164" fontId="0" fillId="0" borderId="0" xfId="2" applyNumberFormat="1" applyFont="1" applyFill="1" applyBorder="1" applyAlignment="1"/>
    <xf numFmtId="165" fontId="0" fillId="0" borderId="0" xfId="2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164" fontId="0" fillId="0" borderId="14" xfId="2" applyNumberFormat="1" applyFont="1" applyFill="1" applyBorder="1" applyAlignment="1">
      <alignment horizontal="center"/>
    </xf>
    <xf numFmtId="164" fontId="0" fillId="0" borderId="11" xfId="2" applyNumberFormat="1" applyFont="1" applyFill="1" applyBorder="1" applyAlignment="1">
      <alignment horizontal="center"/>
    </xf>
    <xf numFmtId="0" fontId="2" fillId="0" borderId="0" xfId="0" applyFont="1" applyFill="1" applyBorder="1"/>
    <xf numFmtId="9" fontId="2" fillId="0" borderId="0" xfId="0" applyNumberFormat="1" applyFont="1" applyFill="1" applyBorder="1"/>
    <xf numFmtId="164" fontId="0" fillId="0" borderId="0" xfId="2" applyNumberFormat="1" applyFont="1" applyFill="1" applyBorder="1" applyAlignment="1">
      <alignment horizontal="center"/>
    </xf>
    <xf numFmtId="9" fontId="2" fillId="0" borderId="0" xfId="1" applyFont="1" applyFill="1" applyBorder="1"/>
    <xf numFmtId="9" fontId="2" fillId="0" borderId="0" xfId="1" applyNumberFormat="1" applyFont="1" applyFill="1" applyBorder="1"/>
    <xf numFmtId="164" fontId="2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164" fontId="0" fillId="0" borderId="0" xfId="0" applyNumberFormat="1" applyBorder="1" applyAlignment="1">
      <alignment horizontal="center"/>
    </xf>
    <xf numFmtId="9" fontId="0" fillId="2" borderId="8" xfId="0" applyNumberFormat="1" applyFill="1" applyBorder="1"/>
    <xf numFmtId="1" fontId="0" fillId="0" borderId="14" xfId="2" applyNumberFormat="1" applyFont="1" applyBorder="1" applyAlignment="1">
      <alignment horizontal="right"/>
    </xf>
    <xf numFmtId="1" fontId="0" fillId="0" borderId="11" xfId="2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0" fontId="0" fillId="0" borderId="19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right"/>
    </xf>
    <xf numFmtId="3" fontId="2" fillId="0" borderId="10" xfId="0" applyNumberFormat="1" applyFont="1" applyBorder="1"/>
    <xf numFmtId="0" fontId="4" fillId="0" borderId="5" xfId="0" applyFont="1" applyBorder="1"/>
    <xf numFmtId="9" fontId="0" fillId="0" borderId="4" xfId="1" applyFont="1" applyBorder="1"/>
    <xf numFmtId="10" fontId="2" fillId="0" borderId="3" xfId="1" applyNumberFormat="1" applyFont="1" applyBorder="1"/>
    <xf numFmtId="10" fontId="2" fillId="0" borderId="9" xfId="0" applyNumberFormat="1" applyFont="1" applyBorder="1"/>
    <xf numFmtId="1" fontId="2" fillId="0" borderId="6" xfId="0" applyNumberFormat="1" applyFont="1" applyBorder="1"/>
    <xf numFmtId="164" fontId="0" fillId="0" borderId="14" xfId="2" applyNumberFormat="1" applyFont="1" applyBorder="1" applyAlignment="1">
      <alignment horizontal="center"/>
    </xf>
    <xf numFmtId="164" fontId="0" fillId="0" borderId="11" xfId="2" applyNumberFormat="1" applyFont="1" applyBorder="1" applyAlignment="1">
      <alignment horizontal="center"/>
    </xf>
    <xf numFmtId="164" fontId="0" fillId="0" borderId="4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64" fontId="0" fillId="0" borderId="15" xfId="2" applyNumberFormat="1" applyFont="1" applyBorder="1" applyAlignment="1">
      <alignment horizontal="center"/>
    </xf>
    <xf numFmtId="164" fontId="0" fillId="0" borderId="12" xfId="2" applyNumberFormat="1" applyFont="1" applyBorder="1" applyAlignment="1">
      <alignment horizontal="center"/>
    </xf>
    <xf numFmtId="164" fontId="0" fillId="0" borderId="14" xfId="2" applyNumberFormat="1" applyFont="1" applyFill="1" applyBorder="1" applyAlignment="1">
      <alignment horizontal="center"/>
    </xf>
    <xf numFmtId="164" fontId="0" fillId="0" borderId="11" xfId="2" applyNumberFormat="1" applyFont="1" applyFill="1" applyBorder="1" applyAlignment="1">
      <alignment horizontal="center"/>
    </xf>
    <xf numFmtId="1" fontId="0" fillId="0" borderId="14" xfId="2" applyNumberFormat="1" applyFont="1" applyBorder="1" applyAlignment="1">
      <alignment horizontal="right"/>
    </xf>
    <xf numFmtId="1" fontId="0" fillId="0" borderId="11" xfId="2" applyNumberFormat="1" applyFont="1" applyBorder="1" applyAlignment="1">
      <alignment horizontal="right"/>
    </xf>
    <xf numFmtId="10" fontId="0" fillId="0" borderId="14" xfId="1" applyNumberFormat="1" applyFont="1" applyBorder="1" applyAlignment="1">
      <alignment horizontal="right"/>
    </xf>
    <xf numFmtId="10" fontId="0" fillId="0" borderId="11" xfId="1" applyNumberFormat="1" applyFont="1" applyBorder="1" applyAlignment="1">
      <alignment horizontal="right"/>
    </xf>
    <xf numFmtId="9" fontId="5" fillId="0" borderId="14" xfId="1" applyNumberFormat="1" applyFont="1" applyBorder="1" applyAlignment="1">
      <alignment horizontal="right"/>
    </xf>
    <xf numFmtId="9" fontId="5" fillId="0" borderId="11" xfId="1" applyNumberFormat="1" applyFont="1" applyBorder="1" applyAlignment="1">
      <alignment horizontal="right"/>
    </xf>
    <xf numFmtId="9" fontId="0" fillId="0" borderId="14" xfId="1" applyFont="1" applyBorder="1" applyAlignment="1">
      <alignment horizontal="right"/>
    </xf>
    <xf numFmtId="9" fontId="0" fillId="0" borderId="11" xfId="1" applyFont="1" applyBorder="1" applyAlignment="1">
      <alignment horizontal="right"/>
    </xf>
    <xf numFmtId="9" fontId="0" fillId="0" borderId="4" xfId="1" applyFont="1" applyBorder="1" applyAlignment="1">
      <alignment horizontal="right"/>
    </xf>
    <xf numFmtId="9" fontId="0" fillId="0" borderId="6" xfId="1" applyFont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3" xfId="2" applyNumberFormat="1" applyFont="1" applyBorder="1" applyAlignment="1">
      <alignment horizontal="center"/>
    </xf>
    <xf numFmtId="164" fontId="0" fillId="0" borderId="10" xfId="2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164" fontId="0" fillId="0" borderId="15" xfId="2" applyNumberFormat="1" applyFont="1" applyFill="1" applyBorder="1" applyAlignment="1">
      <alignment horizontal="center"/>
    </xf>
    <xf numFmtId="164" fontId="0" fillId="0" borderId="12" xfId="2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9E99-E910-4FD3-BF61-CED0062ED354}">
  <dimension ref="A1:AK129"/>
  <sheetViews>
    <sheetView tabSelected="1" topLeftCell="A49" zoomScaleNormal="100" workbookViewId="0">
      <selection activeCell="L27" sqref="L27"/>
    </sheetView>
  </sheetViews>
  <sheetFormatPr defaultRowHeight="14.5" x14ac:dyDescent="0.35"/>
  <cols>
    <col min="1" max="1" width="9.26953125" customWidth="1"/>
    <col min="3" max="8" width="9.26953125" customWidth="1"/>
    <col min="9" max="9" width="10.81640625" customWidth="1"/>
    <col min="10" max="10" width="11.54296875" customWidth="1"/>
    <col min="11" max="11" width="9.26953125" customWidth="1"/>
    <col min="13" max="13" width="9.26953125" customWidth="1"/>
    <col min="15" max="16" width="9.26953125" customWidth="1"/>
    <col min="18" max="18" width="9.26953125" customWidth="1"/>
    <col min="19" max="20" width="9.1796875" customWidth="1"/>
    <col min="23" max="23" width="9.1796875" customWidth="1"/>
    <col min="27" max="27" width="11.54296875" customWidth="1"/>
    <col min="28" max="28" width="12.7265625" customWidth="1"/>
    <col min="29" max="29" width="12.26953125" customWidth="1"/>
    <col min="30" max="30" width="10.453125" customWidth="1"/>
    <col min="31" max="31" width="9.453125" customWidth="1"/>
  </cols>
  <sheetData>
    <row r="1" spans="1:24" s="10" customFormat="1" ht="15" thickBot="1" x14ac:dyDescent="0.4">
      <c r="A1" s="7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24" s="10" customFormat="1" x14ac:dyDescent="0.35">
      <c r="A2" s="30"/>
      <c r="B2" s="25"/>
      <c r="C2" s="28" t="s">
        <v>40</v>
      </c>
      <c r="D2" s="6"/>
      <c r="E2" s="6"/>
      <c r="F2" s="6"/>
      <c r="G2" s="6"/>
      <c r="H2" s="6"/>
      <c r="I2" s="6"/>
      <c r="J2" s="6"/>
      <c r="K2" s="6"/>
      <c r="L2" s="6"/>
      <c r="M2" s="26"/>
      <c r="N2" s="31" t="s">
        <v>42</v>
      </c>
      <c r="O2" s="32"/>
    </row>
    <row r="3" spans="1:24" x14ac:dyDescent="0.35">
      <c r="A3" s="27"/>
      <c r="B3" s="25"/>
      <c r="C3" s="11" t="s">
        <v>41</v>
      </c>
      <c r="D3" s="12"/>
      <c r="E3" s="12"/>
      <c r="F3" s="12"/>
      <c r="G3" s="13"/>
      <c r="H3" s="14" t="s">
        <v>38</v>
      </c>
      <c r="I3" s="11" t="s">
        <v>39</v>
      </c>
      <c r="J3" s="12"/>
      <c r="K3" s="12"/>
      <c r="L3" s="12"/>
      <c r="M3" s="13"/>
      <c r="N3" s="31"/>
      <c r="O3" s="32"/>
    </row>
    <row r="4" spans="1:24" x14ac:dyDescent="0.35">
      <c r="A4" s="28"/>
      <c r="B4" s="26"/>
      <c r="C4" s="14" t="s">
        <v>0</v>
      </c>
      <c r="D4" s="14" t="s">
        <v>4</v>
      </c>
      <c r="E4" s="14" t="s">
        <v>7</v>
      </c>
      <c r="F4" s="14" t="s">
        <v>8</v>
      </c>
      <c r="G4" s="14" t="s">
        <v>9</v>
      </c>
      <c r="H4" s="14" t="s">
        <v>0</v>
      </c>
      <c r="I4" s="14" t="s">
        <v>0</v>
      </c>
      <c r="J4" s="14" t="s">
        <v>8</v>
      </c>
      <c r="K4" s="14" t="s">
        <v>12</v>
      </c>
      <c r="L4" s="14"/>
      <c r="M4" s="14" t="s">
        <v>44</v>
      </c>
      <c r="N4" s="33" t="s">
        <v>0</v>
      </c>
      <c r="O4" s="33" t="s">
        <v>12</v>
      </c>
    </row>
    <row r="5" spans="1:24" x14ac:dyDescent="0.35">
      <c r="A5" s="29" t="s">
        <v>1</v>
      </c>
      <c r="B5" s="24"/>
      <c r="C5" s="15">
        <v>297</v>
      </c>
      <c r="D5" s="15">
        <v>732938</v>
      </c>
      <c r="E5" s="16">
        <f>D5/C5</f>
        <v>2467.8047138047136</v>
      </c>
      <c r="F5" s="17">
        <f t="shared" ref="F5:G9" si="0">C5/C$13</f>
        <v>0.37171464330413018</v>
      </c>
      <c r="G5" s="17">
        <f t="shared" si="0"/>
        <v>0.54148190942819696</v>
      </c>
      <c r="H5" s="15">
        <v>13</v>
      </c>
      <c r="I5" s="15">
        <f>C5+H5</f>
        <v>310</v>
      </c>
      <c r="J5" s="17">
        <f>I5/I$13</f>
        <v>0.37439613526570048</v>
      </c>
      <c r="K5" s="15">
        <v>86.9726</v>
      </c>
      <c r="L5" s="17">
        <f>K5/K$13</f>
        <v>0.42425658536585364</v>
      </c>
      <c r="M5" s="15">
        <f>I5/K5</f>
        <v>3.5643409533577239</v>
      </c>
      <c r="N5" s="34">
        <f>J5*N$13</f>
        <v>347.80487804878049</v>
      </c>
      <c r="O5" s="35">
        <f>O$13*L5</f>
        <v>97.579014634146333</v>
      </c>
    </row>
    <row r="6" spans="1:24" x14ac:dyDescent="0.35">
      <c r="A6" s="27" t="s">
        <v>2</v>
      </c>
      <c r="B6" s="25"/>
      <c r="C6" s="18">
        <v>138</v>
      </c>
      <c r="D6" s="18">
        <v>195549</v>
      </c>
      <c r="E6" s="19">
        <f>D6/C6</f>
        <v>1417.0217391304348</v>
      </c>
      <c r="F6" s="20">
        <f t="shared" si="0"/>
        <v>0.17271589486858574</v>
      </c>
      <c r="G6" s="20">
        <f t="shared" si="0"/>
        <v>0.14446821682976527</v>
      </c>
      <c r="H6" s="18">
        <v>16</v>
      </c>
      <c r="I6" s="18">
        <f t="shared" ref="I6:I8" si="1">C6+H6</f>
        <v>154</v>
      </c>
      <c r="J6" s="20">
        <f>I6/I$13</f>
        <v>0.1859903381642512</v>
      </c>
      <c r="K6" s="18">
        <v>12.4251</v>
      </c>
      <c r="L6" s="20">
        <f>K6/K$13</f>
        <v>6.0610243902439027E-2</v>
      </c>
      <c r="M6" s="18">
        <f t="shared" ref="M6:M7" si="2">I6/K6</f>
        <v>12.394266444535658</v>
      </c>
      <c r="N6" s="36">
        <f>J6*N$13</f>
        <v>172.78048780487805</v>
      </c>
      <c r="O6" s="37">
        <f>O$13*L6</f>
        <v>13.940356097560976</v>
      </c>
    </row>
    <row r="7" spans="1:24" x14ac:dyDescent="0.35">
      <c r="A7" s="27" t="s">
        <v>3</v>
      </c>
      <c r="B7" s="25"/>
      <c r="C7" s="18">
        <v>360</v>
      </c>
      <c r="D7" s="18">
        <v>360969</v>
      </c>
      <c r="E7" s="19">
        <f>D7/C7</f>
        <v>1002.6916666666667</v>
      </c>
      <c r="F7" s="20">
        <f t="shared" si="0"/>
        <v>0.45056320400500627</v>
      </c>
      <c r="G7" s="20">
        <f t="shared" si="0"/>
        <v>0.26667764990270232</v>
      </c>
      <c r="H7" s="18">
        <v>0</v>
      </c>
      <c r="I7" s="18">
        <f t="shared" si="1"/>
        <v>360</v>
      </c>
      <c r="J7" s="20">
        <f>I7/I$13</f>
        <v>0.43478260869565216</v>
      </c>
      <c r="K7" s="18">
        <f>28.81+3.19954</f>
        <v>32.009540000000001</v>
      </c>
      <c r="L7" s="20">
        <f>K7/K$13</f>
        <v>0.15614409756097561</v>
      </c>
      <c r="M7" s="18">
        <f t="shared" si="2"/>
        <v>11.2466470933353</v>
      </c>
      <c r="N7" s="36">
        <f>J7*N$13</f>
        <v>403.90243902439022</v>
      </c>
      <c r="O7" s="37">
        <f>O$13*L7</f>
        <v>35.913142439024391</v>
      </c>
    </row>
    <row r="8" spans="1:24" x14ac:dyDescent="0.35">
      <c r="A8" s="27" t="s">
        <v>6</v>
      </c>
      <c r="B8" s="25"/>
      <c r="C8" s="18">
        <v>4</v>
      </c>
      <c r="D8" s="18">
        <v>2358</v>
      </c>
      <c r="E8" s="19">
        <f>D8/C8</f>
        <v>589.5</v>
      </c>
      <c r="F8" s="20">
        <f t="shared" si="0"/>
        <v>5.0062578222778474E-3</v>
      </c>
      <c r="G8" s="20">
        <f t="shared" si="0"/>
        <v>1.7420495900494837E-3</v>
      </c>
      <c r="H8" s="18">
        <v>0</v>
      </c>
      <c r="I8" s="18">
        <f t="shared" si="1"/>
        <v>4</v>
      </c>
      <c r="J8" s="20">
        <f>I8/I$13</f>
        <v>4.830917874396135E-3</v>
      </c>
      <c r="K8" s="18"/>
      <c r="L8" s="18"/>
      <c r="M8" s="18"/>
      <c r="N8" s="36">
        <f>J8*N$13</f>
        <v>4.48780487804878</v>
      </c>
      <c r="O8" s="37"/>
    </row>
    <row r="9" spans="1:24" x14ac:dyDescent="0.35">
      <c r="A9" s="27" t="s">
        <v>28</v>
      </c>
      <c r="B9" s="25"/>
      <c r="C9" s="18"/>
      <c r="D9" s="18">
        <v>61764</v>
      </c>
      <c r="E9" s="19"/>
      <c r="F9" s="20"/>
      <c r="G9" s="20">
        <f t="shared" si="0"/>
        <v>4.5630174249285969E-2</v>
      </c>
      <c r="H9" s="18"/>
      <c r="I9" s="18"/>
      <c r="J9" s="20"/>
      <c r="K9" s="18">
        <v>15.1351</v>
      </c>
      <c r="L9" s="20">
        <f>K9/K$13</f>
        <v>7.382975609756097E-2</v>
      </c>
      <c r="M9" s="18"/>
      <c r="N9" s="36"/>
      <c r="O9" s="37">
        <f>O$13*L9</f>
        <v>16.980843902439023</v>
      </c>
      <c r="P9" t="s">
        <v>43</v>
      </c>
    </row>
    <row r="10" spans="1:24" x14ac:dyDescent="0.35">
      <c r="A10" s="27" t="s">
        <v>27</v>
      </c>
      <c r="B10" s="25"/>
      <c r="C10" s="18"/>
      <c r="D10" s="18"/>
      <c r="E10" s="19"/>
      <c r="F10" s="20"/>
      <c r="G10" s="20"/>
      <c r="H10" s="18"/>
      <c r="I10" s="18"/>
      <c r="J10" s="20"/>
      <c r="K10" s="18">
        <v>20.3935</v>
      </c>
      <c r="L10" s="20">
        <f>K10/K$13</f>
        <v>9.9480487804878046E-2</v>
      </c>
      <c r="M10" s="18"/>
      <c r="N10" s="36"/>
      <c r="O10" s="37">
        <f>O$13*L10</f>
        <v>22.880512195121952</v>
      </c>
    </row>
    <row r="11" spans="1:24" x14ac:dyDescent="0.35">
      <c r="A11" s="27" t="s">
        <v>29</v>
      </c>
      <c r="B11" s="25"/>
      <c r="C11" s="18"/>
      <c r="D11" s="18"/>
      <c r="E11" s="19"/>
      <c r="F11" s="20"/>
      <c r="G11" s="20"/>
      <c r="H11" s="18"/>
      <c r="I11" s="18"/>
      <c r="J11" s="20"/>
      <c r="K11" s="18">
        <v>10.195399999999999</v>
      </c>
      <c r="L11" s="20">
        <f>K11/K$13</f>
        <v>4.973365853658536E-2</v>
      </c>
      <c r="M11" s="18"/>
      <c r="N11" s="36"/>
      <c r="O11" s="37">
        <f>O$13*L11</f>
        <v>11.438741463414633</v>
      </c>
    </row>
    <row r="12" spans="1:24" x14ac:dyDescent="0.35">
      <c r="A12" s="28" t="s">
        <v>30</v>
      </c>
      <c r="B12" s="26"/>
      <c r="C12" s="18"/>
      <c r="D12" s="18"/>
      <c r="E12" s="19"/>
      <c r="F12" s="20"/>
      <c r="G12" s="20"/>
      <c r="H12" s="18"/>
      <c r="I12" s="18"/>
      <c r="J12" s="20"/>
      <c r="K12" s="18">
        <f>K13-SUM(K5:K11)</f>
        <v>27.868760000000009</v>
      </c>
      <c r="L12" s="20">
        <f>K12/K$13</f>
        <v>0.13594517073170737</v>
      </c>
      <c r="M12" s="18"/>
      <c r="N12" s="38"/>
      <c r="O12" s="39">
        <f>O$13*L12</f>
        <v>31.267389268292693</v>
      </c>
    </row>
    <row r="13" spans="1:24" x14ac:dyDescent="0.35">
      <c r="A13" s="11" t="s">
        <v>5</v>
      </c>
      <c r="B13" s="13"/>
      <c r="C13" s="14">
        <f>SUM(C5:C8)</f>
        <v>799</v>
      </c>
      <c r="D13" s="14">
        <f>SUM(D5:D9)</f>
        <v>1353578</v>
      </c>
      <c r="E13" s="22">
        <f>D13/C13</f>
        <v>1694.090112640801</v>
      </c>
      <c r="F13" s="23">
        <f>C13/C$13</f>
        <v>1</v>
      </c>
      <c r="G13" s="23">
        <f>D13/D$13</f>
        <v>1</v>
      </c>
      <c r="H13" s="14"/>
      <c r="I13" s="14">
        <f>SUM(I5:I8)</f>
        <v>828</v>
      </c>
      <c r="J13" s="14"/>
      <c r="K13" s="14">
        <v>205</v>
      </c>
      <c r="L13" s="14"/>
      <c r="M13" s="14">
        <f>I13/K13</f>
        <v>4.0390243902439025</v>
      </c>
      <c r="N13" s="40">
        <f>O13*M13</f>
        <v>928.97560975609758</v>
      </c>
      <c r="O13" s="33">
        <v>230</v>
      </c>
    </row>
    <row r="15" spans="1:24" s="10" customFormat="1" ht="15" thickBot="1" x14ac:dyDescent="0.4">
      <c r="A15" s="7" t="s">
        <v>45</v>
      </c>
      <c r="B15" s="8"/>
      <c r="C15" s="8"/>
      <c r="D15" s="8"/>
      <c r="E15" s="8"/>
      <c r="F15" s="8"/>
      <c r="G15" s="8"/>
      <c r="H15" s="8"/>
      <c r="I15" s="8"/>
      <c r="J15" s="8"/>
      <c r="K15" s="8"/>
      <c r="R15" s="53"/>
      <c r="S15" s="53"/>
      <c r="T15" s="53"/>
      <c r="U15" s="53"/>
      <c r="V15" s="53"/>
      <c r="W15" s="53"/>
      <c r="X15" s="53"/>
    </row>
    <row r="16" spans="1:24" s="10" customFormat="1" x14ac:dyDescent="0.35">
      <c r="A16" s="9"/>
      <c r="D16" s="18"/>
      <c r="E16" s="27">
        <v>2019</v>
      </c>
      <c r="F16" s="25"/>
      <c r="G16" s="18"/>
      <c r="H16" s="28" t="s">
        <v>51</v>
      </c>
      <c r="I16" s="26"/>
      <c r="J16" s="95" t="s">
        <v>88</v>
      </c>
      <c r="K16" s="96"/>
      <c r="R16" s="53"/>
      <c r="S16" s="53"/>
      <c r="T16" s="53"/>
      <c r="U16" s="53"/>
      <c r="V16" s="53"/>
      <c r="W16" s="53"/>
      <c r="X16" s="53"/>
    </row>
    <row r="17" spans="1:37" x14ac:dyDescent="0.35">
      <c r="A17" s="29"/>
      <c r="B17" s="45"/>
      <c r="C17" s="45"/>
      <c r="D17" s="21" t="s">
        <v>12</v>
      </c>
      <c r="E17" s="28" t="s">
        <v>46</v>
      </c>
      <c r="F17" s="26"/>
      <c r="G17" s="21" t="s">
        <v>0</v>
      </c>
      <c r="H17" s="21" t="s">
        <v>49</v>
      </c>
      <c r="I17" s="21" t="s">
        <v>50</v>
      </c>
      <c r="J17" s="28">
        <v>2020</v>
      </c>
      <c r="K17" s="26"/>
      <c r="L17" s="10"/>
      <c r="M17" s="10"/>
      <c r="N17" s="10"/>
      <c r="O17" s="10"/>
      <c r="P17" s="10"/>
      <c r="Q17" s="10"/>
      <c r="R17" s="53"/>
      <c r="S17" s="53"/>
      <c r="T17" s="53"/>
      <c r="U17" s="53"/>
      <c r="V17" s="53"/>
      <c r="W17" s="99"/>
      <c r="X17" s="53"/>
    </row>
    <row r="18" spans="1:37" x14ac:dyDescent="0.35">
      <c r="A18" s="29" t="s">
        <v>34</v>
      </c>
      <c r="B18" s="45"/>
      <c r="C18" s="24"/>
      <c r="D18" s="15"/>
      <c r="E18" s="45"/>
      <c r="F18" s="45"/>
      <c r="G18" s="15"/>
      <c r="H18" s="15"/>
      <c r="I18" s="15"/>
      <c r="J18" s="29"/>
      <c r="K18" s="24"/>
      <c r="L18" s="10"/>
      <c r="M18" s="10"/>
      <c r="N18" s="10"/>
      <c r="O18" s="10"/>
      <c r="P18" s="10"/>
      <c r="Q18" s="10"/>
      <c r="R18" s="53"/>
      <c r="S18" s="53"/>
      <c r="T18" s="99"/>
      <c r="U18" s="53"/>
      <c r="V18" s="53"/>
      <c r="W18" s="53"/>
      <c r="X18" s="53"/>
      <c r="AA18" s="99"/>
      <c r="AB18" s="53"/>
      <c r="AC18" s="53"/>
      <c r="AD18" s="53"/>
      <c r="AE18" s="53"/>
      <c r="AF18" s="53"/>
      <c r="AG18" s="53"/>
      <c r="AH18" s="53"/>
      <c r="AI18" s="53"/>
      <c r="AJ18" s="53"/>
      <c r="AK18" s="53"/>
    </row>
    <row r="19" spans="1:37" x14ac:dyDescent="0.35">
      <c r="A19" s="27"/>
      <c r="B19" s="10" t="s">
        <v>10</v>
      </c>
      <c r="C19" s="25"/>
      <c r="D19" s="18">
        <v>35</v>
      </c>
      <c r="E19" s="164">
        <v>1889142.8571428573</v>
      </c>
      <c r="F19" s="164"/>
      <c r="G19" s="18">
        <f>ROUNDDOWN(D19*43560/12000,0)</f>
        <v>127</v>
      </c>
      <c r="H19" s="44"/>
      <c r="I19" s="18"/>
      <c r="J19" s="137">
        <f>E19*(1+H27)</f>
        <v>2044619.3142857144</v>
      </c>
      <c r="K19" s="138"/>
      <c r="L19" s="53"/>
      <c r="M19" s="53"/>
      <c r="N19" s="53"/>
      <c r="O19" s="53"/>
      <c r="P19" s="53"/>
      <c r="Q19" s="53"/>
      <c r="R19" s="53"/>
      <c r="S19" s="53"/>
      <c r="T19" s="88"/>
      <c r="U19" s="53"/>
      <c r="V19" s="53"/>
      <c r="W19" s="168"/>
      <c r="X19" s="168"/>
      <c r="AA19" s="80"/>
      <c r="AB19" s="80"/>
      <c r="AC19" s="80"/>
      <c r="AD19" s="80"/>
      <c r="AE19" s="80"/>
      <c r="AF19" s="53"/>
      <c r="AG19" s="53"/>
      <c r="AH19" s="53"/>
      <c r="AI19" s="53"/>
      <c r="AJ19" s="53"/>
      <c r="AK19" s="53"/>
    </row>
    <row r="20" spans="1:37" x14ac:dyDescent="0.35">
      <c r="A20" s="28"/>
      <c r="B20" s="6" t="s">
        <v>11</v>
      </c>
      <c r="C20" s="26"/>
      <c r="D20" s="21">
        <v>195</v>
      </c>
      <c r="E20" s="165">
        <v>94438.202247191002</v>
      </c>
      <c r="F20" s="165"/>
      <c r="G20" s="21">
        <v>6</v>
      </c>
      <c r="H20" s="46"/>
      <c r="I20" s="21"/>
      <c r="J20" s="137">
        <f>E20*(1+H28)</f>
        <v>102210.46629213482</v>
      </c>
      <c r="K20" s="138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AA20" s="104"/>
      <c r="AB20" s="82"/>
      <c r="AC20" s="105"/>
      <c r="AD20" s="106"/>
      <c r="AE20" s="82"/>
      <c r="AF20" s="53"/>
      <c r="AG20" s="53"/>
      <c r="AH20" s="53"/>
      <c r="AI20" s="53"/>
      <c r="AJ20" s="53"/>
      <c r="AK20" s="53"/>
    </row>
    <row r="21" spans="1:37" x14ac:dyDescent="0.35">
      <c r="A21" s="29" t="s">
        <v>52</v>
      </c>
      <c r="B21" s="47"/>
      <c r="C21" s="24"/>
      <c r="D21" s="15"/>
      <c r="E21" s="45"/>
      <c r="F21" s="45"/>
      <c r="G21" s="15"/>
      <c r="H21" s="15"/>
      <c r="I21" s="15"/>
      <c r="J21" s="93"/>
      <c r="K21" s="94"/>
      <c r="L21" s="53"/>
      <c r="M21" s="53"/>
      <c r="N21" s="53"/>
      <c r="O21" s="53"/>
      <c r="P21" s="53"/>
      <c r="Q21" s="53"/>
      <c r="R21" s="53"/>
      <c r="S21" s="97"/>
      <c r="T21" s="100"/>
      <c r="U21" s="53"/>
      <c r="V21" s="53"/>
      <c r="W21" s="53"/>
      <c r="X21" s="53"/>
      <c r="AA21" s="104"/>
      <c r="AB21" s="82"/>
      <c r="AC21" s="82"/>
      <c r="AD21" s="106"/>
      <c r="AE21" s="82"/>
      <c r="AF21" s="53"/>
      <c r="AG21" s="53"/>
      <c r="AH21" s="53"/>
      <c r="AI21" s="53"/>
      <c r="AJ21" s="53"/>
      <c r="AK21" s="53"/>
    </row>
    <row r="22" spans="1:37" x14ac:dyDescent="0.35">
      <c r="A22" s="27"/>
      <c r="B22" s="10" t="s">
        <v>47</v>
      </c>
      <c r="C22" s="50"/>
      <c r="D22" s="18"/>
      <c r="E22" s="10"/>
      <c r="F22" s="48">
        <v>0.35</v>
      </c>
      <c r="G22" s="18"/>
      <c r="H22" s="18"/>
      <c r="I22" s="18"/>
      <c r="J22" s="55"/>
      <c r="K22" s="90"/>
      <c r="L22" s="53"/>
      <c r="M22" s="53"/>
      <c r="N22" s="53"/>
      <c r="O22" s="53"/>
      <c r="P22" s="53"/>
      <c r="Q22" s="53"/>
      <c r="R22" s="53"/>
      <c r="S22" s="99"/>
      <c r="T22" s="101"/>
      <c r="U22" s="53"/>
      <c r="V22" s="53"/>
      <c r="W22" s="169"/>
      <c r="X22" s="169"/>
      <c r="AA22" s="104"/>
      <c r="AB22" s="82"/>
      <c r="AC22" s="82"/>
      <c r="AD22" s="106"/>
      <c r="AE22" s="82"/>
      <c r="AF22" s="53"/>
      <c r="AG22" s="53"/>
      <c r="AH22" s="53"/>
      <c r="AI22" s="53"/>
      <c r="AJ22" s="53"/>
      <c r="AK22" s="53"/>
    </row>
    <row r="23" spans="1:37" x14ac:dyDescent="0.35">
      <c r="A23" s="27"/>
      <c r="B23" s="10" t="s">
        <v>48</v>
      </c>
      <c r="C23" s="50"/>
      <c r="D23" s="18"/>
      <c r="E23" s="164">
        <v>1000000</v>
      </c>
      <c r="F23" s="132"/>
      <c r="G23" s="18"/>
      <c r="H23" s="18"/>
      <c r="I23" s="18"/>
      <c r="J23" s="55"/>
      <c r="K23" s="90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88"/>
      <c r="X23" s="88"/>
      <c r="Y23" s="10"/>
      <c r="AA23" s="104"/>
      <c r="AB23" s="82"/>
      <c r="AC23" s="82"/>
      <c r="AD23" s="106"/>
      <c r="AE23" s="82"/>
      <c r="AF23" s="53"/>
      <c r="AG23" s="53"/>
      <c r="AH23" s="53"/>
      <c r="AI23" s="53"/>
      <c r="AJ23" s="53"/>
      <c r="AK23" s="53"/>
    </row>
    <row r="24" spans="1:37" x14ac:dyDescent="0.35">
      <c r="A24" s="27"/>
      <c r="B24" s="10"/>
      <c r="C24" s="50" t="s">
        <v>57</v>
      </c>
      <c r="D24" s="18"/>
      <c r="E24" s="164">
        <v>25000</v>
      </c>
      <c r="F24" s="164"/>
      <c r="G24" s="18"/>
      <c r="H24" s="18"/>
      <c r="I24" s="18"/>
      <c r="J24" s="55"/>
      <c r="K24" s="90"/>
      <c r="L24" s="53"/>
      <c r="M24" s="53"/>
      <c r="N24" s="53"/>
      <c r="O24" s="53"/>
      <c r="P24" s="53"/>
      <c r="Q24" s="53"/>
      <c r="R24" s="53"/>
      <c r="S24" s="98"/>
      <c r="T24" s="102"/>
      <c r="U24" s="102"/>
      <c r="V24" s="53"/>
      <c r="W24" s="88"/>
      <c r="X24" s="88"/>
      <c r="Y24" s="10"/>
      <c r="AA24" s="104"/>
      <c r="AB24" s="82"/>
      <c r="AC24" s="82"/>
      <c r="AD24" s="106"/>
      <c r="AE24" s="82"/>
      <c r="AF24" s="53"/>
      <c r="AG24" s="53"/>
      <c r="AH24" s="53"/>
      <c r="AI24" s="53"/>
      <c r="AJ24" s="53"/>
      <c r="AK24" s="53"/>
    </row>
    <row r="25" spans="1:37" x14ac:dyDescent="0.35">
      <c r="A25" s="28"/>
      <c r="B25" s="53" t="s">
        <v>33</v>
      </c>
      <c r="D25" s="21"/>
      <c r="F25" s="5">
        <v>0.02</v>
      </c>
      <c r="G25" s="21"/>
      <c r="H25" s="21"/>
      <c r="I25" s="21"/>
      <c r="J25" s="91"/>
      <c r="K25" s="92"/>
      <c r="L25" s="53"/>
      <c r="M25" s="53"/>
      <c r="N25" s="53"/>
      <c r="O25" s="53"/>
      <c r="P25" s="53"/>
      <c r="Q25" s="53"/>
      <c r="R25" s="53"/>
      <c r="S25" s="97"/>
      <c r="T25" s="53"/>
      <c r="U25" s="102"/>
      <c r="V25" s="53"/>
      <c r="W25" s="88"/>
      <c r="X25" s="88"/>
      <c r="Y25" s="10"/>
      <c r="AA25" s="104"/>
      <c r="AB25" s="82"/>
      <c r="AC25" s="105"/>
      <c r="AD25" s="106"/>
      <c r="AE25" s="82"/>
      <c r="AF25" s="53"/>
      <c r="AG25" s="53"/>
      <c r="AH25" s="53"/>
      <c r="AI25" s="53"/>
      <c r="AJ25" s="53"/>
      <c r="AK25" s="53"/>
    </row>
    <row r="26" spans="1:37" x14ac:dyDescent="0.35">
      <c r="A26" s="29" t="s">
        <v>23</v>
      </c>
      <c r="B26" s="45"/>
      <c r="C26" s="52"/>
      <c r="D26" s="15"/>
      <c r="E26" s="49"/>
      <c r="F26" s="49"/>
      <c r="G26" s="15"/>
      <c r="H26" s="15"/>
      <c r="I26" s="15"/>
      <c r="J26" s="93"/>
      <c r="K26" s="94"/>
      <c r="L26" s="53"/>
      <c r="M26" s="53"/>
      <c r="N26" s="53"/>
      <c r="O26" s="53"/>
      <c r="P26" s="53"/>
      <c r="Q26" s="53"/>
      <c r="R26" s="53"/>
      <c r="S26" s="97"/>
      <c r="T26" s="53"/>
      <c r="U26" s="53"/>
      <c r="V26" s="53"/>
      <c r="W26" s="103"/>
      <c r="X26" s="103"/>
      <c r="Y26" s="10"/>
      <c r="AA26" s="104"/>
      <c r="AB26" s="82"/>
      <c r="AC26" s="105"/>
      <c r="AD26" s="106"/>
      <c r="AE26" s="82"/>
      <c r="AF26" s="53"/>
      <c r="AG26" s="53"/>
      <c r="AH26" s="53"/>
      <c r="AI26" s="53"/>
      <c r="AJ26" s="53"/>
      <c r="AK26" s="53"/>
    </row>
    <row r="27" spans="1:37" x14ac:dyDescent="0.35">
      <c r="A27" s="27"/>
      <c r="B27" s="10" t="s">
        <v>10</v>
      </c>
      <c r="C27" s="50"/>
      <c r="D27" s="18"/>
      <c r="E27" s="164">
        <f>D19*(1-F22)*E19-SUM(G19*E24,E23*D19*E19/(D19*E19+D20*E20))-D19*E19*F25</f>
        <v>37698442.923419535</v>
      </c>
      <c r="F27" s="164"/>
      <c r="G27" s="18"/>
      <c r="H27" s="42">
        <v>8.2299999999999998E-2</v>
      </c>
      <c r="I27" s="42">
        <v>1.6500000000000001E-2</v>
      </c>
      <c r="J27" s="137">
        <f>D19*(1-F22)*J19-SUM(G19*E24,E23*D19*J19/(D19*J19+D20*J20))-D19*J19*F25</f>
        <v>41126698.803419538</v>
      </c>
      <c r="K27" s="138"/>
      <c r="L27" s="115"/>
      <c r="M27" s="115"/>
      <c r="N27" s="115"/>
      <c r="O27" s="115"/>
      <c r="P27" s="115"/>
      <c r="Q27" s="115"/>
      <c r="R27" s="53"/>
      <c r="S27" s="97"/>
      <c r="T27" s="100"/>
      <c r="U27" s="53"/>
      <c r="V27" s="53"/>
      <c r="W27" s="103"/>
      <c r="X27" s="103"/>
      <c r="Y27" s="10"/>
      <c r="AA27" s="104"/>
      <c r="AB27" s="82"/>
      <c r="AC27" s="82"/>
      <c r="AD27" s="106"/>
      <c r="AE27" s="82"/>
      <c r="AF27" s="53"/>
      <c r="AG27" s="53"/>
      <c r="AH27" s="53"/>
      <c r="AI27" s="53"/>
      <c r="AJ27" s="53"/>
      <c r="AK27" s="53"/>
    </row>
    <row r="28" spans="1:37" x14ac:dyDescent="0.35">
      <c r="A28" s="28"/>
      <c r="B28" s="6" t="s">
        <v>11</v>
      </c>
      <c r="C28" s="51"/>
      <c r="D28" s="21"/>
      <c r="E28" s="165">
        <f>D20*(1-F22)*E20-SUM(G20*E24,E23*D20*E20/(D19*E19+D20*E20))-D20*E20*F25</f>
        <v>11233890.222647879</v>
      </c>
      <c r="F28" s="165"/>
      <c r="G28" s="21"/>
      <c r="H28" s="43">
        <v>8.2299999999999998E-2</v>
      </c>
      <c r="I28" s="43">
        <v>1.6500000000000001E-2</v>
      </c>
      <c r="J28" s="166">
        <f>D20*(1-F22)*J20-SUM(G20*E24,E23*D20*J20/(D19*J19+D20*J20))-D20*J20*F25</f>
        <v>12188712.860569227</v>
      </c>
      <c r="K28" s="167"/>
      <c r="L28" s="115"/>
      <c r="M28" s="115"/>
      <c r="N28" s="115"/>
      <c r="O28" s="115"/>
      <c r="P28" s="115"/>
      <c r="Q28" s="115"/>
      <c r="R28" s="53"/>
      <c r="S28" s="99"/>
      <c r="T28" s="101"/>
      <c r="U28" s="53"/>
      <c r="V28" s="53"/>
      <c r="W28" s="115"/>
      <c r="X28" s="115"/>
      <c r="Y28" s="10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</row>
    <row r="29" spans="1:37" x14ac:dyDescent="0.35">
      <c r="A29" s="28"/>
      <c r="B29" s="6" t="s">
        <v>5</v>
      </c>
      <c r="C29" s="51"/>
      <c r="D29" s="21"/>
      <c r="E29" s="133">
        <f>SUM(E27:F28)</f>
        <v>48932333.146067411</v>
      </c>
      <c r="F29" s="134"/>
      <c r="G29" s="21"/>
      <c r="H29" s="129">
        <v>8.2299999999999998E-2</v>
      </c>
      <c r="I29" s="43">
        <v>1.6500000000000001E-2</v>
      </c>
      <c r="J29" s="162">
        <f>SUM(J27:K28)</f>
        <v>53315411.663988769</v>
      </c>
      <c r="K29" s="163"/>
      <c r="L29" s="115"/>
      <c r="M29" s="115"/>
      <c r="N29" s="114"/>
      <c r="O29" s="114"/>
      <c r="P29" s="115"/>
      <c r="Q29" s="115"/>
      <c r="R29" s="53"/>
      <c r="S29" s="53"/>
      <c r="T29" s="53"/>
      <c r="U29" s="53"/>
      <c r="V29" s="53"/>
      <c r="W29" s="88"/>
      <c r="X29" s="88"/>
      <c r="Y29" s="10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</row>
    <row r="30" spans="1:37" x14ac:dyDescent="0.35">
      <c r="C30" s="3"/>
      <c r="E30" s="41"/>
      <c r="F30" s="41"/>
      <c r="R30" s="53"/>
      <c r="S30" s="98"/>
      <c r="T30" s="101"/>
      <c r="U30" s="53"/>
      <c r="V30" s="53"/>
      <c r="W30" s="115"/>
      <c r="X30" s="115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</row>
    <row r="31" spans="1:37" x14ac:dyDescent="0.35">
      <c r="E31" s="2"/>
      <c r="F31" s="2"/>
      <c r="J31" s="85"/>
      <c r="K31" s="86"/>
      <c r="Y31" s="87"/>
      <c r="AA31" s="53"/>
      <c r="AB31" s="53"/>
      <c r="AC31" s="99"/>
      <c r="AD31" s="53"/>
      <c r="AE31" s="53"/>
      <c r="AF31" s="53"/>
      <c r="AG31" s="53"/>
      <c r="AH31" s="53"/>
      <c r="AI31" s="53"/>
      <c r="AJ31" s="53"/>
      <c r="AK31" s="53"/>
    </row>
    <row r="32" spans="1:37" s="10" customFormat="1" ht="15" thickBot="1" x14ac:dyDescent="0.4">
      <c r="A32" s="7" t="s">
        <v>58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7"/>
      <c r="X32" s="99"/>
      <c r="Y32" s="53"/>
    </row>
    <row r="33" spans="1:32" x14ac:dyDescent="0.35">
      <c r="A33" s="30"/>
      <c r="B33" s="10"/>
      <c r="C33" s="25"/>
      <c r="D33" s="18"/>
      <c r="E33" s="27"/>
      <c r="F33" s="25"/>
      <c r="G33" s="18"/>
      <c r="H33" s="18"/>
      <c r="I33" s="37" t="s">
        <v>89</v>
      </c>
      <c r="K33" s="31"/>
      <c r="L33" s="32"/>
      <c r="P33" s="109"/>
      <c r="Q33" s="109"/>
      <c r="R33" s="109"/>
      <c r="S33" s="109"/>
      <c r="T33" s="109"/>
      <c r="U33" s="109"/>
      <c r="V33" s="109"/>
      <c r="W33" s="109"/>
      <c r="X33" s="110"/>
      <c r="Y33" s="109"/>
      <c r="Z33" s="109"/>
      <c r="AA33" s="110"/>
      <c r="AB33" s="109"/>
      <c r="AC33" s="109"/>
      <c r="AD33" s="110"/>
      <c r="AE33" s="109"/>
      <c r="AF33" s="109"/>
    </row>
    <row r="34" spans="1:32" x14ac:dyDescent="0.35">
      <c r="A34" s="27"/>
      <c r="B34" s="10"/>
      <c r="C34" s="25"/>
      <c r="D34" s="18" t="s">
        <v>12</v>
      </c>
      <c r="E34" s="27" t="s">
        <v>46</v>
      </c>
      <c r="F34" s="25"/>
      <c r="G34" s="18" t="s">
        <v>0</v>
      </c>
      <c r="H34" s="54" t="s">
        <v>24</v>
      </c>
      <c r="I34" s="54" t="s">
        <v>77</v>
      </c>
      <c r="J34" s="53" t="s">
        <v>92</v>
      </c>
      <c r="K34" s="55" t="s">
        <v>90</v>
      </c>
      <c r="L34" s="25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</row>
    <row r="35" spans="1:32" x14ac:dyDescent="0.35">
      <c r="A35" s="29" t="s">
        <v>34</v>
      </c>
      <c r="B35" s="45"/>
      <c r="C35" s="24"/>
      <c r="D35" s="15"/>
      <c r="E35" s="29"/>
      <c r="F35" s="24"/>
      <c r="G35" s="15"/>
      <c r="H35" s="15"/>
      <c r="I35" s="15"/>
      <c r="J35" s="15"/>
      <c r="K35" s="29"/>
      <c r="L35" s="24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</row>
    <row r="36" spans="1:32" x14ac:dyDescent="0.35">
      <c r="A36" s="27"/>
      <c r="B36" s="10" t="s">
        <v>53</v>
      </c>
      <c r="C36" s="25"/>
      <c r="D36" s="19">
        <f>O5</f>
        <v>97.579014634146333</v>
      </c>
      <c r="E36" s="27"/>
      <c r="F36" s="25"/>
      <c r="G36" s="19">
        <f>N5</f>
        <v>347.80487804878049</v>
      </c>
      <c r="H36" s="18"/>
      <c r="I36" s="117">
        <v>0.06</v>
      </c>
      <c r="K36" s="131">
        <f>$D36*(1-I36)*$E37+$G36*I36*SUM($E59*$E80,$G59*$G80,$I59*$I80,$K59*$K80)</f>
        <v>181414249.45696887</v>
      </c>
      <c r="L36" s="132"/>
      <c r="P36" s="103"/>
      <c r="Q36" s="103"/>
      <c r="R36" s="100"/>
      <c r="S36" s="103"/>
      <c r="T36" s="103"/>
      <c r="U36" s="100"/>
      <c r="V36" s="103"/>
      <c r="W36" s="103"/>
      <c r="X36" s="100"/>
      <c r="Y36" s="103"/>
      <c r="Z36" s="103"/>
      <c r="AA36" s="100"/>
      <c r="AB36" s="103"/>
      <c r="AC36" s="103"/>
      <c r="AD36" s="100"/>
      <c r="AE36" s="103"/>
      <c r="AF36" s="103"/>
    </row>
    <row r="37" spans="1:32" x14ac:dyDescent="0.35">
      <c r="A37" s="27"/>
      <c r="B37" s="10"/>
      <c r="C37" s="50" t="s">
        <v>10</v>
      </c>
      <c r="D37" s="19">
        <f>G37*H37/43560</f>
        <v>34.986225895316807</v>
      </c>
      <c r="E37" s="137">
        <f>J19</f>
        <v>2044619.3142857144</v>
      </c>
      <c r="F37" s="138"/>
      <c r="G37" s="18">
        <v>127</v>
      </c>
      <c r="H37" s="19">
        <v>12000</v>
      </c>
      <c r="I37" s="18"/>
      <c r="K37" s="27"/>
      <c r="L37" s="25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</row>
    <row r="38" spans="1:32" x14ac:dyDescent="0.35">
      <c r="A38" s="27"/>
      <c r="B38" s="10"/>
      <c r="C38" s="50" t="s">
        <v>25</v>
      </c>
      <c r="D38" s="19">
        <f>D36-D37</f>
        <v>62.592788738829526</v>
      </c>
      <c r="E38" s="137">
        <f>J19</f>
        <v>2044619.3142857144</v>
      </c>
      <c r="F38" s="138"/>
      <c r="G38" s="19">
        <f>N5-G37</f>
        <v>220.80487804878049</v>
      </c>
      <c r="H38" s="19">
        <f>D38*43560/G38</f>
        <v>12348.195844029602</v>
      </c>
      <c r="I38" s="18"/>
      <c r="K38" s="131"/>
      <c r="L38" s="132"/>
      <c r="P38" s="103"/>
      <c r="Q38" s="103"/>
      <c r="R38" s="53"/>
      <c r="S38" s="103"/>
      <c r="T38" s="103"/>
      <c r="U38" s="53"/>
      <c r="V38" s="103"/>
      <c r="W38" s="103"/>
      <c r="X38" s="53"/>
      <c r="Y38" s="103"/>
      <c r="Z38" s="103"/>
      <c r="AA38" s="53"/>
      <c r="AB38" s="103"/>
      <c r="AC38" s="103"/>
      <c r="AD38" s="53"/>
      <c r="AE38" s="103"/>
      <c r="AF38" s="103"/>
    </row>
    <row r="39" spans="1:32" x14ac:dyDescent="0.35">
      <c r="A39" s="27"/>
      <c r="B39" s="10" t="s">
        <v>54</v>
      </c>
      <c r="C39" s="25"/>
      <c r="D39" s="19">
        <f>O6</f>
        <v>13.940356097560976</v>
      </c>
      <c r="E39" s="137">
        <f>J19</f>
        <v>2044619.3142857144</v>
      </c>
      <c r="F39" s="138"/>
      <c r="G39" s="19">
        <f>N6</f>
        <v>172.78048780487805</v>
      </c>
      <c r="H39" s="19">
        <f>D39*43560/G39*3</f>
        <v>10543.584857142858</v>
      </c>
      <c r="I39" s="56">
        <v>1</v>
      </c>
      <c r="K39" s="131">
        <f>$D39*(1-I39)*$E39+$G39*I39*SUM($E59*$E85,$G59*$G85,$I59*$I85,$K59*$K85)</f>
        <v>-6481326.5643799026</v>
      </c>
      <c r="L39" s="132"/>
      <c r="P39" s="103"/>
      <c r="Q39" s="103"/>
      <c r="R39" s="100"/>
      <c r="S39" s="103"/>
      <c r="T39" s="103"/>
      <c r="U39" s="100"/>
      <c r="V39" s="103"/>
      <c r="W39" s="103"/>
      <c r="X39" s="100"/>
      <c r="Y39" s="103"/>
      <c r="Z39" s="103"/>
      <c r="AA39" s="100"/>
      <c r="AB39" s="103"/>
      <c r="AC39" s="103"/>
      <c r="AD39" s="100"/>
      <c r="AE39" s="103"/>
      <c r="AF39" s="103"/>
    </row>
    <row r="40" spans="1:32" x14ac:dyDescent="0.35">
      <c r="A40" s="27"/>
      <c r="B40" s="10" t="s">
        <v>55</v>
      </c>
      <c r="C40" s="25"/>
      <c r="D40" s="19">
        <f>O7</f>
        <v>35.913142439024391</v>
      </c>
      <c r="E40" s="137">
        <f>825100*(1+H27-I27)</f>
        <v>879391.58000000007</v>
      </c>
      <c r="F40" s="138"/>
      <c r="G40" s="19">
        <f>N7</f>
        <v>403.90243902439022</v>
      </c>
      <c r="H40" s="18"/>
      <c r="I40" s="56">
        <v>1</v>
      </c>
      <c r="K40" s="131">
        <f>$M63+$M75</f>
        <v>-15843276.696555316</v>
      </c>
      <c r="L40" s="132"/>
      <c r="P40" s="103"/>
      <c r="Q40" s="103"/>
      <c r="R40" s="100"/>
      <c r="S40" s="103"/>
      <c r="T40" s="103"/>
      <c r="U40" s="100"/>
      <c r="V40" s="103"/>
      <c r="W40" s="103"/>
      <c r="X40" s="100"/>
      <c r="Y40" s="103"/>
      <c r="Z40" s="103"/>
      <c r="AA40" s="100"/>
      <c r="AB40" s="103"/>
      <c r="AC40" s="103"/>
      <c r="AD40" s="100"/>
      <c r="AE40" s="103"/>
      <c r="AF40" s="103"/>
    </row>
    <row r="41" spans="1:32" x14ac:dyDescent="0.35">
      <c r="A41" s="27"/>
      <c r="B41" s="53" t="s">
        <v>86</v>
      </c>
      <c r="C41" s="25"/>
      <c r="D41" s="19"/>
      <c r="E41" s="107"/>
      <c r="F41" s="108"/>
      <c r="G41" s="19"/>
      <c r="H41" s="18"/>
      <c r="J41" s="117" t="s">
        <v>91</v>
      </c>
      <c r="K41" s="83"/>
      <c r="L41" s="84"/>
      <c r="P41" s="111"/>
      <c r="Q41" s="111"/>
      <c r="R41" s="100"/>
      <c r="S41" s="111"/>
      <c r="T41" s="111"/>
      <c r="U41" s="100"/>
      <c r="V41" s="111"/>
      <c r="W41" s="111"/>
      <c r="X41" s="100"/>
      <c r="Y41" s="111"/>
      <c r="Z41" s="111"/>
      <c r="AA41" s="100"/>
      <c r="AB41" s="111"/>
      <c r="AC41" s="111"/>
      <c r="AD41" s="100"/>
      <c r="AE41" s="111"/>
      <c r="AF41" s="111"/>
    </row>
    <row r="42" spans="1:32" x14ac:dyDescent="0.35">
      <c r="A42" s="27"/>
      <c r="B42" s="53"/>
      <c r="C42" s="50" t="s">
        <v>10</v>
      </c>
      <c r="D42" s="19">
        <f>E92</f>
        <v>10.526315789473685</v>
      </c>
      <c r="E42" s="137">
        <f>F92</f>
        <v>2044619.3142857144</v>
      </c>
      <c r="F42" s="138"/>
      <c r="G42" s="19">
        <f>IF(J41="yes",D92,)</f>
        <v>51.428571428571431</v>
      </c>
      <c r="H42" s="18"/>
      <c r="I42" s="56"/>
      <c r="K42" s="131">
        <f>IF(J41="yes",E42*D42,)</f>
        <v>21522308.571428575</v>
      </c>
      <c r="L42" s="132"/>
      <c r="P42" s="111"/>
      <c r="Q42" s="111"/>
      <c r="R42" s="100"/>
      <c r="S42" s="111"/>
      <c r="T42" s="111"/>
      <c r="U42" s="100"/>
      <c r="V42" s="111"/>
      <c r="W42" s="111"/>
      <c r="X42" s="100"/>
      <c r="Y42" s="111"/>
      <c r="Z42" s="111"/>
      <c r="AA42" s="100"/>
      <c r="AB42" s="111"/>
      <c r="AC42" s="111"/>
      <c r="AD42" s="100"/>
      <c r="AE42" s="111"/>
      <c r="AF42" s="111"/>
    </row>
    <row r="43" spans="1:32" x14ac:dyDescent="0.35">
      <c r="A43" s="27"/>
      <c r="B43" s="53"/>
      <c r="C43" s="50" t="s">
        <v>93</v>
      </c>
      <c r="D43" s="19">
        <f>E89</f>
        <v>200</v>
      </c>
      <c r="E43" s="107"/>
      <c r="F43" s="108">
        <f>F93</f>
        <v>10221.046629213482</v>
      </c>
      <c r="G43" s="19">
        <f>IF(J41="yes",D89,)</f>
        <v>0</v>
      </c>
      <c r="H43" s="18"/>
      <c r="I43" s="56"/>
      <c r="K43" s="131">
        <f>IF(J41="yes",F43*D43,)</f>
        <v>2044209.3258426965</v>
      </c>
      <c r="L43" s="132"/>
      <c r="P43" s="111"/>
      <c r="Q43" s="111"/>
      <c r="R43" s="100"/>
      <c r="S43" s="111"/>
      <c r="T43" s="111"/>
      <c r="U43" s="100"/>
      <c r="V43" s="111"/>
      <c r="W43" s="111"/>
      <c r="X43" s="100"/>
      <c r="Y43" s="111"/>
      <c r="Z43" s="111"/>
      <c r="AA43" s="100"/>
      <c r="AB43" s="111"/>
      <c r="AC43" s="111"/>
      <c r="AD43" s="100"/>
      <c r="AE43" s="111"/>
      <c r="AF43" s="111"/>
    </row>
    <row r="44" spans="1:32" x14ac:dyDescent="0.35">
      <c r="A44" s="29" t="s">
        <v>52</v>
      </c>
      <c r="B44" s="45"/>
      <c r="C44" s="24"/>
      <c r="D44" s="15"/>
      <c r="E44" s="29"/>
      <c r="F44" s="24"/>
      <c r="G44" s="15"/>
      <c r="H44" s="15"/>
      <c r="I44" s="15"/>
      <c r="J44" s="15"/>
      <c r="K44" s="29"/>
      <c r="L44" s="24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</row>
    <row r="45" spans="1:32" x14ac:dyDescent="0.35">
      <c r="A45" s="27"/>
      <c r="B45" s="10" t="s">
        <v>48</v>
      </c>
      <c r="C45" s="50"/>
      <c r="D45" s="18"/>
      <c r="E45" s="131">
        <v>2000000</v>
      </c>
      <c r="F45" s="132"/>
      <c r="G45" s="18"/>
      <c r="H45" s="18"/>
      <c r="I45" s="18"/>
      <c r="K45" s="131">
        <v>2000000</v>
      </c>
      <c r="L45" s="132"/>
      <c r="P45" s="103"/>
      <c r="Q45" s="103"/>
      <c r="R45" s="53"/>
      <c r="S45" s="103"/>
      <c r="T45" s="103"/>
      <c r="U45" s="53"/>
      <c r="V45" s="103"/>
      <c r="W45" s="103"/>
      <c r="X45" s="53"/>
      <c r="Y45" s="103"/>
      <c r="Z45" s="103"/>
      <c r="AA45" s="53"/>
      <c r="AB45" s="103"/>
      <c r="AC45" s="103"/>
      <c r="AD45" s="53"/>
      <c r="AE45" s="103"/>
      <c r="AF45" s="103"/>
    </row>
    <row r="46" spans="1:32" x14ac:dyDescent="0.35">
      <c r="A46" s="27"/>
      <c r="B46" s="10"/>
      <c r="C46" s="50" t="s">
        <v>57</v>
      </c>
      <c r="D46" s="18"/>
      <c r="E46" s="131">
        <v>25000</v>
      </c>
      <c r="F46" s="132"/>
      <c r="G46" s="18"/>
      <c r="H46" s="18"/>
      <c r="I46" s="18"/>
      <c r="K46" s="131">
        <v>25000</v>
      </c>
      <c r="L46" s="132"/>
      <c r="P46" s="103"/>
      <c r="Q46" s="103"/>
      <c r="R46" s="53"/>
      <c r="S46" s="103"/>
      <c r="T46" s="103"/>
      <c r="U46" s="53"/>
      <c r="V46" s="103"/>
      <c r="W46" s="103"/>
      <c r="X46" s="53"/>
      <c r="Y46" s="103"/>
      <c r="Z46" s="103"/>
      <c r="AA46" s="53"/>
      <c r="AB46" s="103"/>
      <c r="AC46" s="103"/>
      <c r="AD46" s="53"/>
      <c r="AE46" s="103"/>
      <c r="AF46" s="103"/>
    </row>
    <row r="47" spans="1:32" x14ac:dyDescent="0.35">
      <c r="A47" s="27"/>
      <c r="B47" s="10" t="s">
        <v>56</v>
      </c>
      <c r="C47" s="50"/>
      <c r="D47" s="18"/>
      <c r="E47" s="27"/>
      <c r="F47" s="57">
        <v>0.02</v>
      </c>
      <c r="G47" s="18"/>
      <c r="H47" s="18"/>
      <c r="I47" s="18"/>
      <c r="K47" s="27"/>
      <c r="L47" s="57">
        <v>0.02</v>
      </c>
      <c r="P47" s="53"/>
      <c r="Q47" s="100"/>
      <c r="R47" s="53"/>
      <c r="S47" s="53"/>
      <c r="T47" s="100"/>
      <c r="U47" s="53"/>
      <c r="V47" s="53"/>
      <c r="W47" s="100"/>
      <c r="X47" s="53"/>
      <c r="Y47" s="53"/>
      <c r="Z47" s="100"/>
      <c r="AA47" s="53"/>
      <c r="AB47" s="53"/>
      <c r="AC47" s="100"/>
      <c r="AD47" s="53"/>
      <c r="AE47" s="53"/>
      <c r="AF47" s="100"/>
    </row>
    <row r="48" spans="1:32" s="10" customFormat="1" x14ac:dyDescent="0.35">
      <c r="A48" s="28"/>
      <c r="B48" s="6" t="s">
        <v>87</v>
      </c>
      <c r="C48" s="51"/>
      <c r="D48" s="21"/>
      <c r="E48" s="160">
        <f>H90</f>
        <v>22124477.533595506</v>
      </c>
      <c r="F48" s="161"/>
      <c r="G48" s="21"/>
      <c r="H48" s="21"/>
      <c r="I48" s="21"/>
      <c r="K48" s="131">
        <f>IF(J41="yes",E48,)</f>
        <v>22124477.533595506</v>
      </c>
      <c r="L48" s="132"/>
      <c r="P48" s="53"/>
      <c r="Q48" s="100"/>
      <c r="R48" s="53"/>
      <c r="S48" s="53"/>
      <c r="T48" s="100"/>
      <c r="U48" s="53"/>
      <c r="V48" s="53"/>
      <c r="W48" s="100"/>
      <c r="X48" s="53"/>
      <c r="Y48" s="53"/>
      <c r="Z48" s="100"/>
      <c r="AA48" s="53"/>
      <c r="AB48" s="53"/>
      <c r="AC48" s="100"/>
      <c r="AD48" s="53"/>
      <c r="AE48" s="53"/>
      <c r="AF48" s="100"/>
    </row>
    <row r="49" spans="1:32" x14ac:dyDescent="0.35">
      <c r="A49" s="11" t="s">
        <v>5</v>
      </c>
      <c r="B49" s="12"/>
      <c r="C49" s="13"/>
      <c r="D49" s="14"/>
      <c r="E49" s="153">
        <f>SUMPRODUCT($D37:$D40,E37:E40)*(1-F47)-E45-SUM($G37,$G38,$G39/3,$G40/40)*E46</f>
        <v>242017048.52552763</v>
      </c>
      <c r="F49" s="154"/>
      <c r="G49" s="14"/>
      <c r="H49" s="14"/>
      <c r="I49" s="89">
        <f>($G36*I36+$G39*I39+$G40*I40)/SUM($G36,$G39,$G40)</f>
        <v>0.64635922330097084</v>
      </c>
      <c r="J49" s="33">
        <f>IF(J41="yes",D43,)</f>
        <v>200</v>
      </c>
      <c r="K49" s="155">
        <f>SUM(K36:K43)*(1-L47)-K45-K48-SUM($G37,$G38,$G39/3,$G40/40,$G42,$G43)*K46</f>
        <v>143205450.61814529</v>
      </c>
      <c r="L49" s="156"/>
      <c r="P49" s="114"/>
      <c r="Q49" s="114"/>
      <c r="R49" s="113"/>
      <c r="S49" s="114"/>
      <c r="T49" s="114"/>
      <c r="U49" s="112"/>
      <c r="V49" s="115"/>
      <c r="W49" s="115"/>
      <c r="X49" s="112"/>
      <c r="Y49" s="114"/>
      <c r="Z49" s="114"/>
      <c r="AA49" s="112"/>
      <c r="AB49" s="114"/>
      <c r="AC49" s="114"/>
      <c r="AD49" s="112"/>
      <c r="AE49" s="114"/>
      <c r="AF49" s="114"/>
    </row>
    <row r="50" spans="1:32" x14ac:dyDescent="0.35">
      <c r="A50" s="11" t="s">
        <v>110</v>
      </c>
      <c r="B50" s="12"/>
      <c r="C50" s="13"/>
      <c r="D50" s="12"/>
      <c r="E50" s="12"/>
      <c r="F50" s="12"/>
      <c r="G50" s="12"/>
      <c r="H50" s="12"/>
      <c r="I50" s="153">
        <f>E49-K49</f>
        <v>98811597.907382339</v>
      </c>
      <c r="J50" s="157"/>
      <c r="K50" s="170">
        <f>K49-J29</f>
        <v>89890038.954156518</v>
      </c>
      <c r="L50" s="171"/>
      <c r="M50" s="53"/>
      <c r="N50" s="53"/>
      <c r="O50" s="53"/>
      <c r="P50" s="53"/>
      <c r="Q50" s="53"/>
      <c r="R50" s="53"/>
      <c r="S50" s="114"/>
      <c r="T50" s="114"/>
      <c r="U50" s="53"/>
      <c r="V50" s="114"/>
      <c r="W50" s="114"/>
      <c r="X50" s="53"/>
      <c r="Y50" s="53"/>
      <c r="Z50" s="53"/>
      <c r="AA50" s="53"/>
      <c r="AB50" s="53"/>
      <c r="AC50" s="53"/>
      <c r="AD50" s="53"/>
      <c r="AE50" s="53"/>
      <c r="AF50" s="53"/>
    </row>
    <row r="51" spans="1:32" x14ac:dyDescent="0.35">
      <c r="I51" s="116"/>
      <c r="J51" s="81"/>
      <c r="K51" s="116"/>
      <c r="L51" s="81"/>
      <c r="M51" s="53"/>
      <c r="N51" s="53"/>
      <c r="O51" s="53"/>
      <c r="P51" s="53"/>
      <c r="Q51" s="53"/>
      <c r="R51" s="53"/>
      <c r="S51" s="114"/>
      <c r="T51" s="114"/>
      <c r="U51" s="53"/>
      <c r="V51" s="114"/>
      <c r="W51" s="114"/>
      <c r="X51" s="53"/>
      <c r="Y51" s="53"/>
      <c r="Z51" s="53"/>
      <c r="AA51" s="53"/>
      <c r="AB51" s="53"/>
      <c r="AC51" s="53"/>
      <c r="AD51" s="53"/>
      <c r="AE51" s="53"/>
      <c r="AF51" s="53"/>
    </row>
    <row r="52" spans="1:32" s="10" customFormat="1" ht="15" thickBot="1" x14ac:dyDescent="0.4">
      <c r="A52" s="7" t="s">
        <v>59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32" s="10" customFormat="1" x14ac:dyDescent="0.35">
      <c r="A53" s="30"/>
      <c r="E53" s="28" t="s">
        <v>60</v>
      </c>
      <c r="F53" s="6"/>
      <c r="G53" s="6"/>
      <c r="H53" s="6"/>
      <c r="I53" s="6"/>
      <c r="J53" s="6"/>
      <c r="K53" s="6"/>
      <c r="L53" s="26"/>
      <c r="N53" s="25"/>
    </row>
    <row r="54" spans="1:32" s="10" customFormat="1" x14ac:dyDescent="0.35">
      <c r="A54" s="63"/>
      <c r="B54" s="6"/>
      <c r="C54" s="6"/>
      <c r="D54" s="26"/>
      <c r="E54" s="158">
        <v>0.5</v>
      </c>
      <c r="F54" s="159"/>
      <c r="G54" s="158">
        <v>0.8</v>
      </c>
      <c r="H54" s="159"/>
      <c r="I54" s="158">
        <v>1.2</v>
      </c>
      <c r="J54" s="159"/>
      <c r="K54" s="158">
        <v>2</v>
      </c>
      <c r="L54" s="150"/>
      <c r="M54" s="149" t="s">
        <v>5</v>
      </c>
      <c r="N54" s="150"/>
    </row>
    <row r="55" spans="1:32" s="10" customFormat="1" x14ac:dyDescent="0.35">
      <c r="A55" s="11" t="s">
        <v>65</v>
      </c>
      <c r="B55" s="12"/>
      <c r="C55" s="12"/>
      <c r="D55" s="13"/>
      <c r="E55" s="64"/>
      <c r="F55" s="65"/>
      <c r="G55" s="64"/>
      <c r="H55" s="65"/>
      <c r="I55" s="64"/>
      <c r="J55" s="65"/>
      <c r="K55" s="66"/>
      <c r="L55" s="67"/>
      <c r="M55" s="133">
        <v>110700</v>
      </c>
      <c r="N55" s="134"/>
    </row>
    <row r="56" spans="1:32" s="10" customFormat="1" x14ac:dyDescent="0.35">
      <c r="A56" s="29" t="s">
        <v>64</v>
      </c>
      <c r="B56" s="45"/>
      <c r="C56" s="45"/>
      <c r="D56" s="24"/>
      <c r="E56" s="151">
        <f>M$55*0.9*E54</f>
        <v>49815</v>
      </c>
      <c r="F56" s="152"/>
      <c r="G56" s="151">
        <f>M$55*0.9*G54</f>
        <v>79704</v>
      </c>
      <c r="H56" s="152"/>
      <c r="I56" s="151">
        <f>M$55*0.9*I54</f>
        <v>119556</v>
      </c>
      <c r="J56" s="152"/>
      <c r="K56" s="151">
        <f>M$55*0.9*K54</f>
        <v>199260</v>
      </c>
      <c r="L56" s="152"/>
      <c r="M56" s="29"/>
      <c r="N56" s="24"/>
    </row>
    <row r="57" spans="1:32" s="10" customFormat="1" x14ac:dyDescent="0.35">
      <c r="A57" s="30"/>
      <c r="B57" s="10" t="s">
        <v>61</v>
      </c>
      <c r="D57" s="25"/>
      <c r="E57" s="131">
        <f>745*12</f>
        <v>8940</v>
      </c>
      <c r="F57" s="132"/>
      <c r="G57" s="137">
        <f>1245*12</f>
        <v>14940</v>
      </c>
      <c r="H57" s="138"/>
      <c r="I57" s="137">
        <f>1993*12</f>
        <v>23916</v>
      </c>
      <c r="J57" s="138"/>
      <c r="K57" s="131">
        <f>K56*0.3</f>
        <v>59778</v>
      </c>
      <c r="L57" s="132"/>
      <c r="M57" s="27"/>
      <c r="N57" s="25"/>
    </row>
    <row r="58" spans="1:32" s="10" customFormat="1" x14ac:dyDescent="0.35">
      <c r="A58" s="63"/>
      <c r="B58" s="6" t="s">
        <v>62</v>
      </c>
      <c r="C58" s="6"/>
      <c r="D58" s="26"/>
      <c r="E58" s="166">
        <v>115474</v>
      </c>
      <c r="F58" s="167"/>
      <c r="G58" s="166">
        <v>225053</v>
      </c>
      <c r="H58" s="167"/>
      <c r="I58" s="166">
        <v>346316</v>
      </c>
      <c r="J58" s="167"/>
      <c r="K58" s="166">
        <v>1000000</v>
      </c>
      <c r="L58" s="167"/>
      <c r="M58" s="28"/>
      <c r="N58" s="26"/>
    </row>
    <row r="59" spans="1:32" s="10" customFormat="1" x14ac:dyDescent="0.35">
      <c r="A59" s="11" t="s">
        <v>63</v>
      </c>
      <c r="B59" s="12"/>
      <c r="C59" s="12"/>
      <c r="D59" s="13"/>
      <c r="E59" s="147">
        <v>0.24566473988439305</v>
      </c>
      <c r="F59" s="148"/>
      <c r="G59" s="147">
        <v>0.19190751445086704</v>
      </c>
      <c r="H59" s="148"/>
      <c r="I59" s="147">
        <v>0.42979768786127165</v>
      </c>
      <c r="J59" s="148"/>
      <c r="K59" s="147">
        <v>0.1326300578034682</v>
      </c>
      <c r="L59" s="148"/>
      <c r="M59" s="11"/>
      <c r="N59" s="13"/>
    </row>
    <row r="60" spans="1:32" x14ac:dyDescent="0.35">
      <c r="A60" s="29" t="s">
        <v>55</v>
      </c>
      <c r="B60" s="45"/>
      <c r="C60" s="45"/>
      <c r="D60" s="24"/>
      <c r="E60" s="29"/>
      <c r="F60" s="24"/>
      <c r="G60" s="29"/>
      <c r="H60" s="24"/>
      <c r="I60" s="29"/>
      <c r="J60" s="24"/>
      <c r="K60" s="29"/>
      <c r="L60" s="24"/>
      <c r="M60" s="29"/>
      <c r="N60" s="24"/>
    </row>
    <row r="61" spans="1:32" x14ac:dyDescent="0.35">
      <c r="A61" s="27"/>
      <c r="B61" s="10" t="s">
        <v>0</v>
      </c>
      <c r="C61" s="10"/>
      <c r="D61" s="25"/>
      <c r="E61" s="139">
        <f>M$61*E59</f>
        <v>99.224587621598744</v>
      </c>
      <c r="F61" s="140"/>
      <c r="G61" s="139">
        <f>M$61*G59</f>
        <v>77.511913153813609</v>
      </c>
      <c r="H61" s="140"/>
      <c r="I61" s="139">
        <f>M$61*I59</f>
        <v>173.59633441421119</v>
      </c>
      <c r="J61" s="140"/>
      <c r="K61" s="139">
        <f>M$61*K59</f>
        <v>53.569603834766667</v>
      </c>
      <c r="L61" s="140"/>
      <c r="M61" s="139">
        <f>N7</f>
        <v>403.90243902439022</v>
      </c>
      <c r="N61" s="140"/>
    </row>
    <row r="62" spans="1:32" x14ac:dyDescent="0.35">
      <c r="A62" s="27"/>
      <c r="B62" s="10" t="s">
        <v>69</v>
      </c>
      <c r="C62" s="10"/>
      <c r="D62" s="25"/>
      <c r="E62" s="60"/>
      <c r="F62" s="61"/>
      <c r="G62" s="60"/>
      <c r="H62" s="61"/>
      <c r="I62" s="60"/>
      <c r="J62" s="61"/>
      <c r="K62" s="60"/>
      <c r="L62" s="61"/>
      <c r="M62" s="131">
        <f>SUM(M63,M64,M66)</f>
        <v>194577558.97465774</v>
      </c>
      <c r="N62" s="132"/>
    </row>
    <row r="63" spans="1:32" x14ac:dyDescent="0.35">
      <c r="A63" s="27"/>
      <c r="B63" s="10"/>
      <c r="C63" s="10" t="s">
        <v>32</v>
      </c>
      <c r="D63" s="25"/>
      <c r="E63" s="60"/>
      <c r="F63" s="61"/>
      <c r="G63" s="60"/>
      <c r="H63" s="61"/>
      <c r="I63" s="60"/>
      <c r="J63" s="61"/>
      <c r="K63" s="60"/>
      <c r="L63" s="61"/>
      <c r="M63" s="131">
        <f>D40*E40</f>
        <v>31581715.072218716</v>
      </c>
      <c r="N63" s="132"/>
    </row>
    <row r="64" spans="1:32" x14ac:dyDescent="0.35">
      <c r="A64" s="27"/>
      <c r="B64" s="10"/>
      <c r="C64" s="10" t="s">
        <v>35</v>
      </c>
      <c r="D64" s="25"/>
      <c r="E64" s="60"/>
      <c r="F64" s="61"/>
      <c r="G64" s="60"/>
      <c r="H64" s="61"/>
      <c r="I64" s="60"/>
      <c r="J64" s="61"/>
      <c r="K64" s="60"/>
      <c r="L64" s="61"/>
      <c r="M64" s="131">
        <f>M61*E7*C65</f>
        <v>161995843.90243903</v>
      </c>
      <c r="N64" s="132"/>
    </row>
    <row r="65" spans="1:14" x14ac:dyDescent="0.35">
      <c r="A65" s="27"/>
      <c r="B65" s="10"/>
      <c r="C65">
        <v>400</v>
      </c>
      <c r="D65" t="s">
        <v>71</v>
      </c>
      <c r="E65" s="118"/>
      <c r="F65" s="119"/>
      <c r="G65" s="118"/>
      <c r="H65" s="119"/>
      <c r="I65" s="118"/>
      <c r="J65" s="119"/>
      <c r="K65" s="118"/>
      <c r="L65" s="119"/>
      <c r="M65" s="27"/>
      <c r="N65" s="25"/>
    </row>
    <row r="66" spans="1:14" x14ac:dyDescent="0.35">
      <c r="A66" s="27"/>
      <c r="B66" s="10"/>
      <c r="C66" s="10" t="s">
        <v>70</v>
      </c>
      <c r="D66" s="25"/>
      <c r="E66" s="60"/>
      <c r="F66" s="61"/>
      <c r="G66" s="60"/>
      <c r="H66" s="61"/>
      <c r="I66" s="60"/>
      <c r="J66" s="61"/>
      <c r="K66" s="60"/>
      <c r="L66" s="61"/>
      <c r="M66" s="131">
        <v>1000000</v>
      </c>
      <c r="N66" s="132"/>
    </row>
    <row r="67" spans="1:14" x14ac:dyDescent="0.35">
      <c r="A67" s="27"/>
      <c r="B67" s="10" t="s">
        <v>72</v>
      </c>
      <c r="C67" s="10"/>
      <c r="D67" s="57"/>
      <c r="E67" s="131">
        <f>E68*(1-E69)</f>
        <v>842714.42267023807</v>
      </c>
      <c r="F67" s="132"/>
      <c r="G67" s="131">
        <f t="shared" ref="G67" si="3">G68*(1-G69)</f>
        <v>1100126.5833920767</v>
      </c>
      <c r="H67" s="132"/>
      <c r="I67" s="131">
        <f t="shared" ref="I67" si="4">I68*(1-I69)</f>
        <v>3944143.4371577608</v>
      </c>
      <c r="J67" s="132"/>
      <c r="K67" s="131">
        <f t="shared" ref="K67" si="5">K68*(1-K69)</f>
        <v>3042169.5891329478</v>
      </c>
      <c r="L67" s="132"/>
      <c r="M67" s="131">
        <f>SUM(E67:L67)</f>
        <v>8929154.0323530231</v>
      </c>
      <c r="N67" s="132"/>
    </row>
    <row r="68" spans="1:14" x14ac:dyDescent="0.35">
      <c r="A68" s="27"/>
      <c r="B68" s="10"/>
      <c r="C68" s="10" t="s">
        <v>67</v>
      </c>
      <c r="D68" s="57"/>
      <c r="E68" s="131">
        <f>E61*E57</f>
        <v>887067.81333709275</v>
      </c>
      <c r="F68" s="132"/>
      <c r="G68" s="131">
        <f>G61*G57</f>
        <v>1158027.9825179754</v>
      </c>
      <c r="H68" s="132"/>
      <c r="I68" s="131">
        <f>I61*I57</f>
        <v>4151729.9338502749</v>
      </c>
      <c r="J68" s="132"/>
      <c r="K68" s="131">
        <f>K61*K57</f>
        <v>3202283.7780346819</v>
      </c>
      <c r="L68" s="132"/>
      <c r="M68" s="131">
        <f>SUM(E68:L68)</f>
        <v>9399109.5077400245</v>
      </c>
      <c r="N68" s="132"/>
    </row>
    <row r="69" spans="1:14" x14ac:dyDescent="0.35">
      <c r="A69" s="27"/>
      <c r="B69" s="10"/>
      <c r="C69" s="10" t="s">
        <v>26</v>
      </c>
      <c r="D69" s="57"/>
      <c r="E69" s="145">
        <v>0.05</v>
      </c>
      <c r="F69" s="146"/>
      <c r="G69" s="145">
        <v>0.05</v>
      </c>
      <c r="H69" s="146"/>
      <c r="I69" s="145">
        <v>0.05</v>
      </c>
      <c r="J69" s="146"/>
      <c r="K69" s="145">
        <v>0.05</v>
      </c>
      <c r="L69" s="146"/>
      <c r="M69" s="145">
        <v>0.05</v>
      </c>
      <c r="N69" s="146"/>
    </row>
    <row r="70" spans="1:14" x14ac:dyDescent="0.35">
      <c r="A70" s="27"/>
      <c r="B70" s="10" t="s">
        <v>73</v>
      </c>
      <c r="C70" s="10"/>
      <c r="D70" s="57"/>
      <c r="E70" s="27"/>
      <c r="F70" s="25"/>
      <c r="G70" s="27"/>
      <c r="H70" s="25"/>
      <c r="I70" s="27"/>
      <c r="J70" s="25"/>
      <c r="K70" s="27"/>
      <c r="L70" s="25"/>
      <c r="M70" s="27"/>
      <c r="N70" s="25"/>
    </row>
    <row r="71" spans="1:14" x14ac:dyDescent="0.35">
      <c r="A71" s="27"/>
      <c r="B71" s="10"/>
      <c r="C71" s="10" t="s">
        <v>68</v>
      </c>
      <c r="D71" s="57"/>
      <c r="E71" s="27"/>
      <c r="F71" s="25"/>
      <c r="G71" s="27"/>
      <c r="H71" s="25"/>
      <c r="I71" s="27"/>
      <c r="J71" s="25"/>
      <c r="K71" s="27"/>
      <c r="L71" s="25"/>
      <c r="M71" s="131">
        <v>100000</v>
      </c>
      <c r="N71" s="132"/>
    </row>
    <row r="72" spans="1:14" x14ac:dyDescent="0.35">
      <c r="A72" s="27"/>
      <c r="B72" s="10" t="s">
        <v>66</v>
      </c>
      <c r="C72" s="10"/>
      <c r="D72" s="57"/>
      <c r="E72" s="27"/>
      <c r="F72" s="25"/>
      <c r="G72" s="27"/>
      <c r="H72" s="25"/>
      <c r="I72" s="27"/>
      <c r="J72" s="25"/>
      <c r="K72" s="27"/>
      <c r="L72" s="25"/>
      <c r="M72" s="27"/>
      <c r="N72" s="25"/>
    </row>
    <row r="73" spans="1:14" x14ac:dyDescent="0.35">
      <c r="A73" s="27"/>
      <c r="B73" s="10"/>
      <c r="C73" s="10" t="s">
        <v>75</v>
      </c>
      <c r="D73" s="57"/>
      <c r="E73" s="27"/>
      <c r="F73" s="25"/>
      <c r="G73" s="27"/>
      <c r="H73" s="25"/>
      <c r="I73" s="27"/>
      <c r="J73" s="25"/>
      <c r="K73" s="27"/>
      <c r="L73" s="25"/>
      <c r="M73" s="141">
        <f>(M67-M71)/M62</f>
        <v>4.5376013960083408E-2</v>
      </c>
      <c r="N73" s="142"/>
    </row>
    <row r="74" spans="1:14" x14ac:dyDescent="0.35">
      <c r="A74" s="27"/>
      <c r="B74" s="10"/>
      <c r="C74" s="10" t="s">
        <v>76</v>
      </c>
      <c r="D74" s="57"/>
      <c r="E74" s="27"/>
      <c r="F74" s="25"/>
      <c r="G74" s="27"/>
      <c r="H74" s="25"/>
      <c r="I74" s="27"/>
      <c r="J74" s="25"/>
      <c r="K74" s="27"/>
      <c r="L74" s="25"/>
      <c r="M74" s="143">
        <v>0.06</v>
      </c>
      <c r="N74" s="144"/>
    </row>
    <row r="75" spans="1:14" x14ac:dyDescent="0.35">
      <c r="A75" s="28"/>
      <c r="B75" s="6"/>
      <c r="C75" s="6" t="s">
        <v>74</v>
      </c>
      <c r="D75" s="26"/>
      <c r="E75" s="28"/>
      <c r="F75" s="26"/>
      <c r="G75" s="28"/>
      <c r="H75" s="26"/>
      <c r="I75" s="28"/>
      <c r="J75" s="68"/>
      <c r="K75" s="69"/>
      <c r="L75" s="26"/>
      <c r="M75" s="135">
        <f>IF((M67-M71)/M74-M64-M66-M63&gt;0,0,(M67-M71)/M74-M64-M66-M63)</f>
        <v>-47424991.768774033</v>
      </c>
      <c r="N75" s="136"/>
    </row>
    <row r="76" spans="1:14" x14ac:dyDescent="0.35">
      <c r="A76" s="29" t="s">
        <v>53</v>
      </c>
      <c r="B76" s="45"/>
      <c r="C76" s="45"/>
      <c r="D76" s="24"/>
      <c r="E76" s="29"/>
      <c r="F76" s="24"/>
      <c r="G76" s="29"/>
      <c r="H76" s="52"/>
      <c r="I76" s="70"/>
      <c r="J76" s="24"/>
      <c r="K76" s="29"/>
      <c r="L76" s="24"/>
      <c r="M76" s="29"/>
      <c r="N76" s="24"/>
    </row>
    <row r="77" spans="1:14" x14ac:dyDescent="0.35">
      <c r="A77" s="27"/>
      <c r="B77" s="10" t="s">
        <v>79</v>
      </c>
      <c r="C77" s="10"/>
      <c r="D77" s="25"/>
      <c r="E77" s="139">
        <v>1500</v>
      </c>
      <c r="F77" s="140"/>
      <c r="G77" s="139">
        <v>1500</v>
      </c>
      <c r="H77" s="140"/>
      <c r="I77" s="139">
        <v>2000</v>
      </c>
      <c r="J77" s="140"/>
      <c r="K77" s="139">
        <v>2500</v>
      </c>
      <c r="L77" s="140"/>
      <c r="M77" s="27"/>
      <c r="N77" s="25"/>
    </row>
    <row r="78" spans="1:14" x14ac:dyDescent="0.35">
      <c r="A78" s="27"/>
      <c r="B78" s="10" t="s">
        <v>78</v>
      </c>
      <c r="C78" s="10"/>
      <c r="D78" s="25"/>
      <c r="E78" s="131">
        <f>E77*E79</f>
        <v>525000</v>
      </c>
      <c r="F78" s="132"/>
      <c r="G78" s="131">
        <f>G77*G79</f>
        <v>525000</v>
      </c>
      <c r="H78" s="132"/>
      <c r="I78" s="131">
        <f>I77*I79</f>
        <v>700000</v>
      </c>
      <c r="J78" s="132"/>
      <c r="K78" s="131">
        <f>K77*K79</f>
        <v>875000</v>
      </c>
      <c r="L78" s="132"/>
      <c r="M78" s="27"/>
      <c r="N78" s="25"/>
    </row>
    <row r="79" spans="1:14" x14ac:dyDescent="0.35">
      <c r="A79" s="27"/>
      <c r="B79" s="10"/>
      <c r="C79" s="10" t="s">
        <v>36</v>
      </c>
      <c r="D79" s="25"/>
      <c r="E79" s="139">
        <v>350</v>
      </c>
      <c r="F79" s="140"/>
      <c r="G79" s="139">
        <v>350</v>
      </c>
      <c r="H79" s="140"/>
      <c r="I79" s="139">
        <v>350</v>
      </c>
      <c r="J79" s="140"/>
      <c r="K79" s="139">
        <v>350</v>
      </c>
      <c r="L79" s="140"/>
      <c r="M79" s="27"/>
      <c r="N79" s="25"/>
    </row>
    <row r="80" spans="1:14" x14ac:dyDescent="0.35">
      <c r="A80" s="28"/>
      <c r="B80" s="6" t="s">
        <v>80</v>
      </c>
      <c r="C80" s="6"/>
      <c r="D80" s="26"/>
      <c r="E80" s="135">
        <f>E58-E78</f>
        <v>-409526</v>
      </c>
      <c r="F80" s="136"/>
      <c r="G80" s="135">
        <f>G58-G78</f>
        <v>-299947</v>
      </c>
      <c r="H80" s="136"/>
      <c r="I80" s="135">
        <f>I58-I78</f>
        <v>-353684</v>
      </c>
      <c r="J80" s="136"/>
      <c r="K80" s="135">
        <f>K58-K78</f>
        <v>125000</v>
      </c>
      <c r="L80" s="136"/>
      <c r="M80" s="28"/>
      <c r="N80" s="26"/>
    </row>
    <row r="81" spans="1:14" x14ac:dyDescent="0.35">
      <c r="A81" s="29" t="s">
        <v>81</v>
      </c>
      <c r="B81" s="45"/>
      <c r="C81" s="45"/>
      <c r="D81" s="24"/>
      <c r="E81" s="29"/>
      <c r="F81" s="24"/>
      <c r="G81" s="29"/>
      <c r="H81" s="24"/>
      <c r="I81" s="29"/>
      <c r="J81" s="71"/>
      <c r="K81" s="72"/>
      <c r="L81" s="24"/>
      <c r="M81" s="29"/>
      <c r="N81" s="24"/>
    </row>
    <row r="82" spans="1:14" x14ac:dyDescent="0.35">
      <c r="A82" s="27"/>
      <c r="B82" s="10" t="s">
        <v>79</v>
      </c>
      <c r="C82" s="10"/>
      <c r="D82" s="25"/>
      <c r="E82" s="139">
        <v>3000</v>
      </c>
      <c r="F82" s="140"/>
      <c r="G82" s="139">
        <v>3000</v>
      </c>
      <c r="H82" s="140"/>
      <c r="I82" s="139">
        <v>3500</v>
      </c>
      <c r="J82" s="140"/>
      <c r="K82" s="139">
        <v>4000</v>
      </c>
      <c r="L82" s="140"/>
      <c r="M82" s="27"/>
      <c r="N82" s="25"/>
    </row>
    <row r="83" spans="1:14" x14ac:dyDescent="0.35">
      <c r="A83" s="27"/>
      <c r="B83" s="10" t="s">
        <v>78</v>
      </c>
      <c r="C83" s="10"/>
      <c r="D83" s="25"/>
      <c r="E83" s="131">
        <f>E82*E84</f>
        <v>1050000</v>
      </c>
      <c r="F83" s="132"/>
      <c r="G83" s="131">
        <f>G82*G84</f>
        <v>1050000</v>
      </c>
      <c r="H83" s="132"/>
      <c r="I83" s="131">
        <f>I82*I84</f>
        <v>1225000</v>
      </c>
      <c r="J83" s="132"/>
      <c r="K83" s="131">
        <f>K82*K84</f>
        <v>1400000</v>
      </c>
      <c r="L83" s="132"/>
      <c r="M83" s="27"/>
      <c r="N83" s="25"/>
    </row>
    <row r="84" spans="1:14" x14ac:dyDescent="0.35">
      <c r="A84" s="27"/>
      <c r="B84" s="10"/>
      <c r="C84" s="10" t="s">
        <v>36</v>
      </c>
      <c r="D84" s="25"/>
      <c r="E84" s="139">
        <v>350</v>
      </c>
      <c r="F84" s="140"/>
      <c r="G84" s="139">
        <v>350</v>
      </c>
      <c r="H84" s="140"/>
      <c r="I84" s="139">
        <v>350</v>
      </c>
      <c r="J84" s="140"/>
      <c r="K84" s="139">
        <v>350</v>
      </c>
      <c r="L84" s="140"/>
      <c r="M84" s="27"/>
      <c r="N84" s="25"/>
    </row>
    <row r="85" spans="1:14" x14ac:dyDescent="0.35">
      <c r="A85" s="28"/>
      <c r="B85" s="6" t="s">
        <v>80</v>
      </c>
      <c r="C85" s="6"/>
      <c r="D85" s="26"/>
      <c r="E85" s="135">
        <f>(E58*3-E83)/3</f>
        <v>-234526</v>
      </c>
      <c r="F85" s="136"/>
      <c r="G85" s="135">
        <f t="shared" ref="G85" si="6">(G58*3-G83)/3</f>
        <v>-124947</v>
      </c>
      <c r="H85" s="136"/>
      <c r="I85" s="135">
        <f t="shared" ref="I85" si="7">(I58*3-I83)/3</f>
        <v>-62017.333333333336</v>
      </c>
      <c r="J85" s="136"/>
      <c r="K85" s="135">
        <f t="shared" ref="K85" si="8">(K58*3-K83)/3</f>
        <v>533333.33333333337</v>
      </c>
      <c r="L85" s="136"/>
      <c r="M85" s="28"/>
      <c r="N85" s="26"/>
    </row>
    <row r="87" spans="1:14" s="10" customFormat="1" ht="15" thickBot="1" x14ac:dyDescent="0.4">
      <c r="A87" s="7" t="s">
        <v>115</v>
      </c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4" x14ac:dyDescent="0.35">
      <c r="A88" s="28"/>
      <c r="B88" s="6"/>
      <c r="C88" s="6"/>
      <c r="D88" s="21" t="s">
        <v>0</v>
      </c>
      <c r="E88" s="21" t="s">
        <v>12</v>
      </c>
      <c r="F88" s="28" t="s">
        <v>46</v>
      </c>
      <c r="G88" s="26"/>
      <c r="H88" s="28" t="s">
        <v>23</v>
      </c>
      <c r="I88" s="26"/>
      <c r="J88" s="28" t="s">
        <v>86</v>
      </c>
      <c r="K88" s="26"/>
    </row>
    <row r="89" spans="1:14" x14ac:dyDescent="0.35">
      <c r="A89" s="29" t="s">
        <v>82</v>
      </c>
      <c r="B89" s="45"/>
      <c r="C89" s="45"/>
      <c r="D89" s="15">
        <v>0</v>
      </c>
      <c r="E89" s="78">
        <v>200</v>
      </c>
      <c r="F89" s="137">
        <f>J20</f>
        <v>102210.46629213482</v>
      </c>
      <c r="G89" s="138"/>
      <c r="H89" s="29"/>
      <c r="I89" s="24"/>
      <c r="J89" s="29"/>
      <c r="K89" s="24"/>
    </row>
    <row r="90" spans="1:14" x14ac:dyDescent="0.35">
      <c r="A90" s="28"/>
      <c r="B90" s="6" t="s">
        <v>84</v>
      </c>
      <c r="C90" s="6"/>
      <c r="D90" s="21"/>
      <c r="E90" s="77"/>
      <c r="F90" s="58"/>
      <c r="G90" s="59"/>
      <c r="H90" s="131">
        <f>F89*E89*(1+H29)</f>
        <v>22124477.533595506</v>
      </c>
      <c r="I90" s="132"/>
      <c r="J90" s="28"/>
      <c r="K90" s="26"/>
      <c r="M90" s="79"/>
      <c r="N90" s="79"/>
    </row>
    <row r="91" spans="1:14" x14ac:dyDescent="0.35">
      <c r="A91" s="29" t="s">
        <v>34</v>
      </c>
      <c r="B91" s="74"/>
      <c r="C91" s="45"/>
      <c r="D91" s="15"/>
      <c r="E91" s="15"/>
      <c r="F91" s="29"/>
      <c r="G91" s="24"/>
      <c r="H91" s="29"/>
      <c r="I91" s="24"/>
      <c r="J91" s="29"/>
      <c r="K91" s="24"/>
    </row>
    <row r="92" spans="1:14" x14ac:dyDescent="0.35">
      <c r="A92" s="27"/>
      <c r="B92" s="48" t="s">
        <v>10</v>
      </c>
      <c r="C92" s="10"/>
      <c r="D92" s="19">
        <f>E89/35*9</f>
        <v>51.428571428571431</v>
      </c>
      <c r="E92" s="18">
        <f>E89/19</f>
        <v>10.526315789473685</v>
      </c>
      <c r="F92" s="131">
        <f>E37</f>
        <v>2044619.3142857144</v>
      </c>
      <c r="G92" s="132"/>
      <c r="H92" s="27"/>
      <c r="I92" s="25"/>
      <c r="J92" s="131">
        <f>E92*F92</f>
        <v>21522308.571428575</v>
      </c>
      <c r="K92" s="132"/>
    </row>
    <row r="93" spans="1:14" x14ac:dyDescent="0.35">
      <c r="A93" s="27"/>
      <c r="B93" s="10" t="s">
        <v>85</v>
      </c>
      <c r="C93" s="10"/>
      <c r="D93" s="73"/>
      <c r="E93" s="73">
        <v>200</v>
      </c>
      <c r="F93" s="131">
        <f>0.1*F89</f>
        <v>10221.046629213482</v>
      </c>
      <c r="G93" s="132"/>
      <c r="H93" s="27"/>
      <c r="I93" s="25"/>
      <c r="J93" s="131">
        <f>E93*F93</f>
        <v>2044209.3258426965</v>
      </c>
      <c r="K93" s="132"/>
    </row>
    <row r="94" spans="1:14" x14ac:dyDescent="0.35">
      <c r="A94" s="28"/>
      <c r="B94" s="6"/>
      <c r="C94" s="6"/>
      <c r="D94" s="21"/>
      <c r="E94" s="21"/>
      <c r="F94" s="28"/>
      <c r="G94" s="26"/>
      <c r="H94" s="28"/>
      <c r="I94" s="26"/>
      <c r="J94" s="131">
        <f>SUM(J92:K93)</f>
        <v>23566517.897271272</v>
      </c>
      <c r="K94" s="132"/>
    </row>
    <row r="95" spans="1:14" x14ac:dyDescent="0.35">
      <c r="A95" s="29" t="s">
        <v>31</v>
      </c>
      <c r="B95" s="74"/>
      <c r="C95" s="45"/>
      <c r="D95" s="15"/>
      <c r="E95" s="15"/>
      <c r="F95" s="29"/>
      <c r="G95" s="24"/>
      <c r="H95" s="29"/>
      <c r="I95" s="24"/>
      <c r="J95" s="75"/>
      <c r="K95" s="76"/>
    </row>
    <row r="96" spans="1:14" x14ac:dyDescent="0.35">
      <c r="A96" s="27"/>
      <c r="B96" s="10"/>
      <c r="C96" s="50" t="s">
        <v>57</v>
      </c>
      <c r="D96" s="18"/>
      <c r="E96" s="18"/>
      <c r="F96" s="131">
        <v>25000</v>
      </c>
      <c r="G96" s="132"/>
      <c r="H96" s="10"/>
      <c r="I96" s="25"/>
      <c r="J96" s="131">
        <f>F96*D92</f>
        <v>1285714.2857142857</v>
      </c>
      <c r="K96" s="132"/>
    </row>
    <row r="97" spans="1:11" x14ac:dyDescent="0.35">
      <c r="A97" s="27"/>
      <c r="B97" s="10" t="s">
        <v>56</v>
      </c>
      <c r="C97" s="10"/>
      <c r="D97" s="18"/>
      <c r="E97" s="18"/>
      <c r="F97" s="27"/>
      <c r="G97" s="57">
        <v>0.02</v>
      </c>
      <c r="H97" s="10"/>
      <c r="I97" s="25"/>
      <c r="J97" s="131">
        <f>J94*G97</f>
        <v>471330.35794542544</v>
      </c>
      <c r="K97" s="132"/>
    </row>
    <row r="98" spans="1:11" x14ac:dyDescent="0.35">
      <c r="A98" s="27"/>
      <c r="B98" s="10" t="s">
        <v>83</v>
      </c>
      <c r="C98" s="10"/>
      <c r="D98" s="73"/>
      <c r="E98" s="18"/>
      <c r="F98" s="62"/>
      <c r="G98" s="25"/>
      <c r="H98" s="10"/>
      <c r="I98" s="25"/>
      <c r="J98" s="131">
        <f>H90</f>
        <v>22124477.533595506</v>
      </c>
      <c r="K98" s="132"/>
    </row>
    <row r="99" spans="1:11" x14ac:dyDescent="0.35">
      <c r="A99" s="11" t="s">
        <v>23</v>
      </c>
      <c r="B99" s="12"/>
      <c r="C99" s="12"/>
      <c r="D99" s="14"/>
      <c r="E99" s="14"/>
      <c r="F99" s="11"/>
      <c r="G99" s="13"/>
      <c r="H99" s="11"/>
      <c r="I99" s="13"/>
      <c r="J99" s="133">
        <f>J94-J96-J97-J98</f>
        <v>-315004.27998394892</v>
      </c>
      <c r="K99" s="134"/>
    </row>
    <row r="100" spans="1:11" x14ac:dyDescent="0.35">
      <c r="E100" s="2"/>
      <c r="F100" s="4"/>
      <c r="H100" s="4"/>
    </row>
    <row r="101" spans="1:11" x14ac:dyDescent="0.35">
      <c r="E101" s="2"/>
      <c r="F101" s="4"/>
      <c r="H101" s="4"/>
    </row>
    <row r="102" spans="1:11" x14ac:dyDescent="0.35">
      <c r="E102" s="2"/>
      <c r="F102" s="4"/>
      <c r="H102" s="4"/>
    </row>
    <row r="103" spans="1:11" x14ac:dyDescent="0.35">
      <c r="E103" s="2"/>
    </row>
    <row r="104" spans="1:11" x14ac:dyDescent="0.35">
      <c r="E104" s="2"/>
      <c r="F104" s="4"/>
      <c r="H104" s="4"/>
      <c r="J104" s="4"/>
      <c r="K104" s="4"/>
    </row>
    <row r="105" spans="1:11" x14ac:dyDescent="0.35">
      <c r="E105" s="2"/>
      <c r="F105" s="4"/>
      <c r="H105" s="4"/>
      <c r="J105" s="4"/>
      <c r="K105" s="4"/>
    </row>
    <row r="106" spans="1:11" x14ac:dyDescent="0.35">
      <c r="E106" s="2"/>
      <c r="F106" s="4"/>
      <c r="H106" s="4"/>
      <c r="J106" s="4"/>
      <c r="K106" s="4"/>
    </row>
    <row r="107" spans="1:11" x14ac:dyDescent="0.35">
      <c r="E107" s="2"/>
      <c r="F107" s="4"/>
      <c r="H107" s="4"/>
    </row>
    <row r="112" spans="1:11" x14ac:dyDescent="0.35">
      <c r="J112" s="4"/>
    </row>
    <row r="113" spans="5:13" x14ac:dyDescent="0.35">
      <c r="J113" s="4"/>
    </row>
    <row r="114" spans="5:13" x14ac:dyDescent="0.35">
      <c r="J114" s="4"/>
    </row>
    <row r="115" spans="5:13" x14ac:dyDescent="0.35">
      <c r="J115" s="4"/>
      <c r="K115" s="4"/>
    </row>
    <row r="116" spans="5:13" x14ac:dyDescent="0.35">
      <c r="F116" s="2"/>
      <c r="J116" s="4"/>
    </row>
    <row r="117" spans="5:13" x14ac:dyDescent="0.35">
      <c r="J117" s="4"/>
      <c r="K117" s="4"/>
    </row>
    <row r="118" spans="5:13" x14ac:dyDescent="0.35">
      <c r="F118" s="2"/>
      <c r="J118" s="4"/>
    </row>
    <row r="119" spans="5:13" x14ac:dyDescent="0.35">
      <c r="I119" s="4"/>
      <c r="J119" s="4"/>
      <c r="K119" s="4"/>
    </row>
    <row r="120" spans="5:13" x14ac:dyDescent="0.35">
      <c r="J120" s="4"/>
    </row>
    <row r="121" spans="5:13" x14ac:dyDescent="0.35">
      <c r="E121" s="2"/>
      <c r="F121" s="4"/>
      <c r="J121" s="4"/>
    </row>
    <row r="122" spans="5:13" x14ac:dyDescent="0.35">
      <c r="E122" s="2"/>
      <c r="F122" s="2"/>
      <c r="J122" s="4"/>
    </row>
    <row r="123" spans="5:13" x14ac:dyDescent="0.35">
      <c r="E123" s="2"/>
      <c r="F123" s="4"/>
      <c r="J123" s="4"/>
    </row>
    <row r="124" spans="5:13" x14ac:dyDescent="0.35">
      <c r="E124" s="2"/>
      <c r="J124" s="4"/>
    </row>
    <row r="125" spans="5:13" x14ac:dyDescent="0.35">
      <c r="E125" s="2"/>
      <c r="F125" s="4"/>
      <c r="J125" s="4"/>
    </row>
    <row r="126" spans="5:13" x14ac:dyDescent="0.35">
      <c r="E126" s="2"/>
      <c r="F126" s="4"/>
      <c r="J126" s="4"/>
      <c r="K126" s="4"/>
      <c r="L126" s="4"/>
      <c r="M126" s="4"/>
    </row>
    <row r="127" spans="5:13" x14ac:dyDescent="0.35">
      <c r="E127" s="2"/>
      <c r="F127" s="4"/>
      <c r="J127" s="4"/>
    </row>
    <row r="128" spans="5:13" x14ac:dyDescent="0.35">
      <c r="E128" s="2"/>
      <c r="F128" s="4"/>
      <c r="J128" s="4"/>
    </row>
    <row r="129" spans="10:10" x14ac:dyDescent="0.35">
      <c r="J129" s="4"/>
    </row>
  </sheetData>
  <mergeCells count="129">
    <mergeCell ref="E19:F19"/>
    <mergeCell ref="E20:F20"/>
    <mergeCell ref="E24:F24"/>
    <mergeCell ref="E23:F23"/>
    <mergeCell ref="E42:F42"/>
    <mergeCell ref="K42:L42"/>
    <mergeCell ref="K43:L43"/>
    <mergeCell ref="E54:F54"/>
    <mergeCell ref="G54:H54"/>
    <mergeCell ref="E39:F39"/>
    <mergeCell ref="E40:F40"/>
    <mergeCell ref="E46:F46"/>
    <mergeCell ref="E45:F45"/>
    <mergeCell ref="E49:F49"/>
    <mergeCell ref="E37:F37"/>
    <mergeCell ref="E38:F38"/>
    <mergeCell ref="J27:K27"/>
    <mergeCell ref="J28:K28"/>
    <mergeCell ref="J29:K29"/>
    <mergeCell ref="E27:F27"/>
    <mergeCell ref="E28:F28"/>
    <mergeCell ref="E29:F29"/>
    <mergeCell ref="E48:F48"/>
    <mergeCell ref="K48:L48"/>
    <mergeCell ref="K50:L50"/>
    <mergeCell ref="M67:N67"/>
    <mergeCell ref="E61:F61"/>
    <mergeCell ref="G61:H61"/>
    <mergeCell ref="I61:J61"/>
    <mergeCell ref="G59:H59"/>
    <mergeCell ref="I59:J59"/>
    <mergeCell ref="K59:L59"/>
    <mergeCell ref="E56:F56"/>
    <mergeCell ref="G56:H56"/>
    <mergeCell ref="I56:J56"/>
    <mergeCell ref="K56:L56"/>
    <mergeCell ref="K57:L57"/>
    <mergeCell ref="I57:J57"/>
    <mergeCell ref="I58:J58"/>
    <mergeCell ref="K58:L58"/>
    <mergeCell ref="E57:F57"/>
    <mergeCell ref="E58:F58"/>
    <mergeCell ref="E59:F59"/>
    <mergeCell ref="G57:H57"/>
    <mergeCell ref="G58:H58"/>
    <mergeCell ref="I50:J50"/>
    <mergeCell ref="G69:H69"/>
    <mergeCell ref="E67:F67"/>
    <mergeCell ref="G67:H67"/>
    <mergeCell ref="E68:F68"/>
    <mergeCell ref="G68:H68"/>
    <mergeCell ref="I54:J54"/>
    <mergeCell ref="K54:L54"/>
    <mergeCell ref="M73:N73"/>
    <mergeCell ref="M62:N62"/>
    <mergeCell ref="I67:J67"/>
    <mergeCell ref="K67:L67"/>
    <mergeCell ref="M71:N71"/>
    <mergeCell ref="M63:N63"/>
    <mergeCell ref="M64:N64"/>
    <mergeCell ref="M66:N66"/>
    <mergeCell ref="K61:L61"/>
    <mergeCell ref="M61:N61"/>
    <mergeCell ref="M68:N68"/>
    <mergeCell ref="M69:N69"/>
    <mergeCell ref="I69:J69"/>
    <mergeCell ref="K69:L69"/>
    <mergeCell ref="M55:N55"/>
    <mergeCell ref="M54:N54"/>
    <mergeCell ref="M74:N74"/>
    <mergeCell ref="K45:L45"/>
    <mergeCell ref="K46:L46"/>
    <mergeCell ref="K49:L49"/>
    <mergeCell ref="I68:J68"/>
    <mergeCell ref="K68:L68"/>
    <mergeCell ref="E82:F82"/>
    <mergeCell ref="G82:H82"/>
    <mergeCell ref="I82:J82"/>
    <mergeCell ref="K82:L82"/>
    <mergeCell ref="E80:F80"/>
    <mergeCell ref="G80:H80"/>
    <mergeCell ref="I80:J80"/>
    <mergeCell ref="K80:L80"/>
    <mergeCell ref="E77:F77"/>
    <mergeCell ref="G77:H77"/>
    <mergeCell ref="I77:J77"/>
    <mergeCell ref="K77:L77"/>
    <mergeCell ref="G79:H79"/>
    <mergeCell ref="E78:F78"/>
    <mergeCell ref="G78:H78"/>
    <mergeCell ref="I78:J78"/>
    <mergeCell ref="K78:L78"/>
    <mergeCell ref="E69:F69"/>
    <mergeCell ref="F93:G93"/>
    <mergeCell ref="J92:K92"/>
    <mergeCell ref="J93:K93"/>
    <mergeCell ref="J94:K94"/>
    <mergeCell ref="J99:K99"/>
    <mergeCell ref="F96:G96"/>
    <mergeCell ref="J97:K97"/>
    <mergeCell ref="J98:K98"/>
    <mergeCell ref="F89:G89"/>
    <mergeCell ref="J96:K96"/>
    <mergeCell ref="H90:I90"/>
    <mergeCell ref="F92:G92"/>
    <mergeCell ref="W19:X19"/>
    <mergeCell ref="W22:X22"/>
    <mergeCell ref="J19:K19"/>
    <mergeCell ref="J20:K20"/>
    <mergeCell ref="E85:F85"/>
    <mergeCell ref="G85:H85"/>
    <mergeCell ref="I85:J85"/>
    <mergeCell ref="K85:L85"/>
    <mergeCell ref="E84:F84"/>
    <mergeCell ref="G84:H84"/>
    <mergeCell ref="I84:J84"/>
    <mergeCell ref="K84:L84"/>
    <mergeCell ref="E79:F79"/>
    <mergeCell ref="E83:F83"/>
    <mergeCell ref="G83:H83"/>
    <mergeCell ref="I83:J83"/>
    <mergeCell ref="K83:L83"/>
    <mergeCell ref="I79:J79"/>
    <mergeCell ref="K79:L79"/>
    <mergeCell ref="K36:L36"/>
    <mergeCell ref="K38:L38"/>
    <mergeCell ref="K39:L39"/>
    <mergeCell ref="K40:L40"/>
    <mergeCell ref="M75:N7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A296-21DF-4D64-B2AF-A12478B1F797}">
  <dimension ref="A1:I16"/>
  <sheetViews>
    <sheetView workbookViewId="0">
      <selection activeCell="E10" sqref="E10"/>
    </sheetView>
  </sheetViews>
  <sheetFormatPr defaultRowHeight="14.5" x14ac:dyDescent="0.35"/>
  <cols>
    <col min="1" max="1" width="3.81640625" customWidth="1"/>
    <col min="7" max="8" width="10.7265625" customWidth="1"/>
    <col min="9" max="9" width="11" bestFit="1" customWidth="1"/>
  </cols>
  <sheetData>
    <row r="1" spans="1:9" ht="15" thickBot="1" x14ac:dyDescent="0.4">
      <c r="A1" s="7" t="s">
        <v>111</v>
      </c>
      <c r="B1" s="7"/>
      <c r="C1" s="7"/>
      <c r="D1" s="7"/>
      <c r="E1" s="9"/>
      <c r="F1" s="9"/>
      <c r="G1" s="9"/>
      <c r="H1" s="9"/>
    </row>
    <row r="2" spans="1:9" x14ac:dyDescent="0.35">
      <c r="E2" s="15"/>
      <c r="F2" s="15"/>
      <c r="G2" s="29" t="s">
        <v>97</v>
      </c>
      <c r="H2" s="24"/>
    </row>
    <row r="3" spans="1:9" x14ac:dyDescent="0.35">
      <c r="A3" s="6"/>
      <c r="B3" s="6"/>
      <c r="C3" s="6"/>
      <c r="D3" s="6"/>
      <c r="E3" s="21" t="s">
        <v>0</v>
      </c>
      <c r="F3" s="21" t="s">
        <v>7</v>
      </c>
      <c r="G3" s="14" t="s">
        <v>98</v>
      </c>
      <c r="H3" s="14" t="s">
        <v>99</v>
      </c>
    </row>
    <row r="4" spans="1:9" x14ac:dyDescent="0.35">
      <c r="A4" s="29" t="s">
        <v>94</v>
      </c>
      <c r="B4" s="45"/>
      <c r="C4" s="45"/>
      <c r="D4" s="24"/>
      <c r="E4" s="78"/>
      <c r="F4" s="78"/>
      <c r="G4" s="78"/>
      <c r="H4" s="78"/>
    </row>
    <row r="5" spans="1:9" x14ac:dyDescent="0.35">
      <c r="A5" s="27"/>
      <c r="B5" s="10" t="s">
        <v>95</v>
      </c>
      <c r="C5" s="10"/>
      <c r="D5" s="25"/>
      <c r="E5" s="73">
        <f>'Future Value Analysis'!G36+'Future Value Analysis'!G42-E10</f>
        <v>378.3651567944251</v>
      </c>
      <c r="F5" s="73">
        <f>12000*0.4</f>
        <v>4800</v>
      </c>
      <c r="G5" s="73">
        <f>E5*(F5/1000*0.043+EXP(-15.49+1.59*LN(F5)))</f>
        <v>128.66110143022351</v>
      </c>
      <c r="H5" s="73"/>
    </row>
    <row r="6" spans="1:9" x14ac:dyDescent="0.35">
      <c r="A6" s="27"/>
      <c r="B6" s="10" t="s">
        <v>101</v>
      </c>
      <c r="C6" s="10"/>
      <c r="D6" s="25"/>
      <c r="E6" s="73">
        <f>'Future Value Analysis'!G39-E11</f>
        <v>0</v>
      </c>
      <c r="F6" s="73">
        <f>F5/3</f>
        <v>1600</v>
      </c>
      <c r="G6" s="73">
        <f>E6*(F6/1000*0.043+EXP(-14.17+1.59*LN(F6)))</f>
        <v>0</v>
      </c>
      <c r="H6" s="73"/>
    </row>
    <row r="7" spans="1:9" x14ac:dyDescent="0.35">
      <c r="A7" s="27"/>
      <c r="B7" s="10" t="s">
        <v>55</v>
      </c>
      <c r="C7" s="10"/>
      <c r="D7" s="25"/>
      <c r="E7" s="73">
        <f>'Future Value Analysis'!G40-E12</f>
        <v>0</v>
      </c>
      <c r="F7" s="73">
        <f>'Future Value Analysis'!E7</f>
        <v>1002.6916666666667</v>
      </c>
      <c r="G7" s="73">
        <f>E7*(F7/1000*0.043+EXP(-14.17+1.59*LN(F7)))</f>
        <v>0</v>
      </c>
      <c r="H7" s="73"/>
    </row>
    <row r="8" spans="1:9" x14ac:dyDescent="0.35">
      <c r="A8" s="28"/>
      <c r="B8" s="6" t="s">
        <v>100</v>
      </c>
      <c r="C8" s="6"/>
      <c r="D8" s="26"/>
      <c r="E8" s="77"/>
      <c r="F8" s="77">
        <f>'Future Value Analysis'!D9/'Future Value Analysis'!K9*'Future Value Analysis'!O9</f>
        <v>69296.195121951212</v>
      </c>
      <c r="G8" s="77">
        <f>F8/1000*1.633</f>
        <v>113.16068663414633</v>
      </c>
      <c r="H8" s="77"/>
    </row>
    <row r="9" spans="1:9" x14ac:dyDescent="0.35">
      <c r="A9" s="29" t="s">
        <v>96</v>
      </c>
      <c r="B9" s="45"/>
      <c r="C9" s="45"/>
      <c r="D9" s="45"/>
      <c r="E9" s="78"/>
      <c r="F9" s="78"/>
      <c r="G9" s="78"/>
      <c r="H9" s="78"/>
    </row>
    <row r="10" spans="1:9" x14ac:dyDescent="0.35">
      <c r="A10" s="27"/>
      <c r="B10" s="10" t="s">
        <v>95</v>
      </c>
      <c r="C10" s="10"/>
      <c r="D10" s="10"/>
      <c r="E10" s="73">
        <f>'Future Value Analysis'!G36*'Future Value Analysis'!I36</f>
        <v>20.868292682926828</v>
      </c>
      <c r="F10" s="73">
        <f>12000*0.4</f>
        <v>4800</v>
      </c>
      <c r="G10" s="73">
        <f>E10*(F10/1000*0.043+EXP(-16.14+1.59*LN(F10)))</f>
        <v>5.7631692569781015</v>
      </c>
      <c r="H10" s="73">
        <f>E10*1.78</f>
        <v>37.145560975609754</v>
      </c>
    </row>
    <row r="11" spans="1:9" x14ac:dyDescent="0.35">
      <c r="A11" s="27"/>
      <c r="B11" s="10" t="s">
        <v>101</v>
      </c>
      <c r="C11" s="10"/>
      <c r="D11" s="10"/>
      <c r="E11" s="73">
        <f>'Future Value Analysis'!G39*'Future Value Analysis'!I39</f>
        <v>172.78048780487805</v>
      </c>
      <c r="F11" s="73">
        <f>F10/3</f>
        <v>1600</v>
      </c>
      <c r="G11" s="73">
        <f>E11*(F11/1000*0.043+EXP(-14.82+1.59*LN(F11)))</f>
        <v>19.75415439022326</v>
      </c>
      <c r="H11" s="73">
        <f t="shared" ref="H11:H12" si="0">E11*1.78</f>
        <v>307.54926829268294</v>
      </c>
    </row>
    <row r="12" spans="1:9" x14ac:dyDescent="0.35">
      <c r="A12" s="28"/>
      <c r="B12" s="6" t="s">
        <v>55</v>
      </c>
      <c r="C12" s="6"/>
      <c r="D12" s="6"/>
      <c r="E12" s="77">
        <f>'Future Value Analysis'!G40*'Future Value Analysis'!I40</f>
        <v>403.90243902439022</v>
      </c>
      <c r="F12" s="77">
        <f>'Future Value Analysis'!E7</f>
        <v>1002.6916666666667</v>
      </c>
      <c r="G12" s="77">
        <f>E12*(F12/1000*0.043+EXP(-14.82+1.59*LN(F12)))</f>
        <v>26.162143407065152</v>
      </c>
      <c r="H12" s="77">
        <f t="shared" si="0"/>
        <v>718.94634146341457</v>
      </c>
    </row>
    <row r="13" spans="1:9" x14ac:dyDescent="0.35">
      <c r="A13" s="29" t="s">
        <v>5</v>
      </c>
      <c r="B13" s="45"/>
      <c r="C13" s="45"/>
      <c r="D13" s="45"/>
      <c r="E13" s="78"/>
      <c r="F13" s="78"/>
      <c r="G13" s="78">
        <f>SUM(G5:G12)</f>
        <v>293.50125511863638</v>
      </c>
      <c r="H13" s="78">
        <f>SUM(H5:H12)</f>
        <v>1063.6411707317072</v>
      </c>
    </row>
    <row r="14" spans="1:9" x14ac:dyDescent="0.35">
      <c r="A14" s="27"/>
      <c r="B14" s="10" t="s">
        <v>103</v>
      </c>
      <c r="C14" s="10"/>
      <c r="D14" s="10"/>
      <c r="E14" s="127">
        <f>SUM(E10:E12)/SUM(E5:E12)</f>
        <v>0.61229756362286136</v>
      </c>
      <c r="F14" s="12"/>
      <c r="G14" s="12"/>
      <c r="H14" s="13"/>
    </row>
    <row r="15" spans="1:9" x14ac:dyDescent="0.35">
      <c r="A15" s="27"/>
      <c r="B15" s="10" t="s">
        <v>112</v>
      </c>
      <c r="C15" s="10"/>
      <c r="D15" s="10"/>
      <c r="E15" s="29"/>
      <c r="F15" s="45"/>
      <c r="G15" s="45"/>
      <c r="H15" s="125">
        <f>H13-G13</f>
        <v>770.1399156130708</v>
      </c>
      <c r="I15" t="s">
        <v>104</v>
      </c>
    </row>
    <row r="16" spans="1:9" x14ac:dyDescent="0.35">
      <c r="A16" s="28"/>
      <c r="B16" s="6" t="s">
        <v>113</v>
      </c>
      <c r="C16" s="6"/>
      <c r="D16" s="6"/>
      <c r="E16" s="11"/>
      <c r="F16" s="12"/>
      <c r="G16" s="126"/>
      <c r="H16" s="130">
        <f>H13/G13</f>
        <v>3.6239748627370334</v>
      </c>
      <c r="I16" t="s">
        <v>102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5911-43DE-4CC1-B082-73162362E110}">
  <dimension ref="A1:M22"/>
  <sheetViews>
    <sheetView workbookViewId="0">
      <selection activeCell="E25" sqref="E25"/>
    </sheetView>
  </sheetViews>
  <sheetFormatPr defaultRowHeight="14.5" x14ac:dyDescent="0.35"/>
  <cols>
    <col min="1" max="1" width="3" customWidth="1"/>
    <col min="2" max="2" width="12.1796875" customWidth="1"/>
    <col min="3" max="12" width="19.81640625" customWidth="1"/>
  </cols>
  <sheetData>
    <row r="1" spans="1:11" ht="15" thickBot="1" x14ac:dyDescent="0.4">
      <c r="A1" s="7" t="s">
        <v>114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35">
      <c r="A2" s="95" t="s">
        <v>105</v>
      </c>
      <c r="B2" s="96"/>
      <c r="C2" s="120" t="s">
        <v>13</v>
      </c>
      <c r="D2" s="120" t="s">
        <v>14</v>
      </c>
      <c r="E2" s="120" t="s">
        <v>15</v>
      </c>
      <c r="F2" s="120" t="s">
        <v>16</v>
      </c>
      <c r="G2" s="120" t="s">
        <v>19</v>
      </c>
      <c r="H2" s="120" t="s">
        <v>21</v>
      </c>
      <c r="I2" s="120" t="s">
        <v>22</v>
      </c>
      <c r="J2" s="121" t="s">
        <v>5</v>
      </c>
      <c r="K2" s="120" t="s">
        <v>108</v>
      </c>
    </row>
    <row r="3" spans="1:11" x14ac:dyDescent="0.35">
      <c r="A3" s="11" t="s">
        <v>12</v>
      </c>
      <c r="B3" s="13"/>
      <c r="C3" s="124">
        <v>40.03</v>
      </c>
      <c r="D3" s="124">
        <v>17.3</v>
      </c>
      <c r="E3" s="124">
        <v>45.1</v>
      </c>
      <c r="F3" s="124">
        <v>40.200000000000003</v>
      </c>
      <c r="G3" s="124">
        <v>3.01</v>
      </c>
      <c r="H3" s="14"/>
      <c r="I3" s="14"/>
      <c r="J3" s="14"/>
      <c r="K3" s="14"/>
    </row>
    <row r="4" spans="1:11" x14ac:dyDescent="0.35">
      <c r="A4" s="29" t="s">
        <v>106</v>
      </c>
      <c r="B4" s="24"/>
      <c r="C4" s="123"/>
      <c r="D4" s="123"/>
      <c r="E4" s="123"/>
      <c r="F4" s="123"/>
      <c r="G4" s="123"/>
      <c r="H4" s="15"/>
      <c r="I4" s="15"/>
      <c r="J4" s="15"/>
      <c r="K4" s="15"/>
    </row>
    <row r="5" spans="1:11" x14ac:dyDescent="0.35">
      <c r="A5" s="27"/>
      <c r="B5" s="25" t="s">
        <v>18</v>
      </c>
      <c r="C5" s="122">
        <v>40.03</v>
      </c>
      <c r="D5" s="122">
        <v>14.72</v>
      </c>
      <c r="E5" s="122">
        <v>30.31</v>
      </c>
      <c r="F5" s="122">
        <v>22.46</v>
      </c>
      <c r="G5" s="18"/>
      <c r="H5" s="122">
        <v>37</v>
      </c>
      <c r="I5" s="122">
        <v>60</v>
      </c>
      <c r="J5" s="18"/>
      <c r="K5" s="18"/>
    </row>
    <row r="6" spans="1:11" x14ac:dyDescent="0.35">
      <c r="A6" s="27"/>
      <c r="B6" s="25" t="s">
        <v>17</v>
      </c>
      <c r="C6" s="122"/>
      <c r="D6" s="122">
        <v>2.58</v>
      </c>
      <c r="E6" s="122">
        <v>14.79</v>
      </c>
      <c r="F6" s="18">
        <v>17.739999999999998</v>
      </c>
      <c r="G6" s="18"/>
      <c r="H6" s="18"/>
      <c r="I6" s="18"/>
      <c r="J6" s="18"/>
      <c r="K6" s="18"/>
    </row>
    <row r="7" spans="1:11" x14ac:dyDescent="0.35">
      <c r="A7" s="27"/>
      <c r="B7" s="25" t="s">
        <v>20</v>
      </c>
      <c r="C7" s="122"/>
      <c r="D7" s="122"/>
      <c r="E7" s="122"/>
      <c r="F7" s="18"/>
      <c r="G7" s="18">
        <v>3.01</v>
      </c>
      <c r="H7" s="18">
        <v>37</v>
      </c>
      <c r="I7" s="18">
        <v>60</v>
      </c>
      <c r="J7" s="18"/>
      <c r="K7" s="18"/>
    </row>
    <row r="8" spans="1:11" x14ac:dyDescent="0.35">
      <c r="A8" s="29" t="s">
        <v>107</v>
      </c>
      <c r="B8" s="24"/>
      <c r="C8" s="123"/>
      <c r="D8" s="123"/>
      <c r="E8" s="123"/>
      <c r="F8" s="15"/>
      <c r="G8" s="15"/>
      <c r="H8" s="15"/>
      <c r="I8" s="15"/>
      <c r="J8" s="15"/>
      <c r="K8" s="15"/>
    </row>
    <row r="9" spans="1:11" x14ac:dyDescent="0.35">
      <c r="A9" s="27"/>
      <c r="B9" s="25">
        <v>2011</v>
      </c>
      <c r="C9" s="18">
        <v>169.96</v>
      </c>
      <c r="D9" s="18">
        <v>73.430000000000007</v>
      </c>
      <c r="E9" s="18">
        <v>191.5</v>
      </c>
      <c r="F9" s="18">
        <v>170.71</v>
      </c>
      <c r="G9" s="18">
        <v>2995.52</v>
      </c>
      <c r="H9" s="18">
        <v>157.12</v>
      </c>
      <c r="I9" s="18">
        <v>254.74</v>
      </c>
      <c r="J9" s="18">
        <f t="shared" ref="J9:J18" si="0">SUM(C9:I9)</f>
        <v>4012.9799999999996</v>
      </c>
      <c r="K9" s="18">
        <f t="shared" ref="K9:K18" si="1">SUM(C9:F9,H9:I9)</f>
        <v>1017.46</v>
      </c>
    </row>
    <row r="10" spans="1:11" x14ac:dyDescent="0.35">
      <c r="A10" s="27"/>
      <c r="B10" s="25">
        <v>2012</v>
      </c>
      <c r="C10" s="18">
        <v>172.19</v>
      </c>
      <c r="D10" s="18">
        <v>74.400000000000006</v>
      </c>
      <c r="E10" s="18">
        <v>193.96</v>
      </c>
      <c r="F10" s="18">
        <v>172.89</v>
      </c>
      <c r="G10" s="18">
        <v>3015.72</v>
      </c>
      <c r="H10" s="18">
        <v>159.16</v>
      </c>
      <c r="I10" s="18">
        <v>258.06</v>
      </c>
      <c r="J10" s="18">
        <f t="shared" si="0"/>
        <v>4046.3799999999997</v>
      </c>
      <c r="K10" s="18">
        <f t="shared" si="1"/>
        <v>1030.6600000000001</v>
      </c>
    </row>
    <row r="11" spans="1:11" x14ac:dyDescent="0.35">
      <c r="A11" s="27"/>
      <c r="B11" s="25">
        <v>2013</v>
      </c>
      <c r="C11" s="18">
        <v>184.63</v>
      </c>
      <c r="D11" s="18">
        <v>79.77</v>
      </c>
      <c r="E11" s="18">
        <v>208.03</v>
      </c>
      <c r="F11" s="18">
        <v>185.39</v>
      </c>
      <c r="G11" s="18">
        <v>2956.62</v>
      </c>
      <c r="H11" s="18">
        <v>170.63</v>
      </c>
      <c r="I11" s="18">
        <v>276.70999999999998</v>
      </c>
      <c r="J11" s="18">
        <f t="shared" si="0"/>
        <v>4061.7799999999997</v>
      </c>
      <c r="K11" s="18">
        <f t="shared" si="1"/>
        <v>1105.1599999999999</v>
      </c>
    </row>
    <row r="12" spans="1:11" x14ac:dyDescent="0.35">
      <c r="A12" s="27"/>
      <c r="B12" s="25">
        <v>2014</v>
      </c>
      <c r="C12" s="18">
        <v>256.08999999999997</v>
      </c>
      <c r="D12" s="18">
        <v>110.65</v>
      </c>
      <c r="E12" s="18">
        <v>288.52999999999997</v>
      </c>
      <c r="F12" s="18">
        <v>257.14</v>
      </c>
      <c r="G12" s="18">
        <v>3039.96</v>
      </c>
      <c r="H12" s="18">
        <v>236.68</v>
      </c>
      <c r="I12" s="18">
        <v>383.81</v>
      </c>
      <c r="J12" s="18">
        <f t="shared" si="0"/>
        <v>4572.8600000000006</v>
      </c>
      <c r="K12" s="18">
        <f t="shared" si="1"/>
        <v>1532.8999999999999</v>
      </c>
    </row>
    <row r="13" spans="1:11" x14ac:dyDescent="0.35">
      <c r="A13" s="27"/>
      <c r="B13" s="25">
        <v>2015</v>
      </c>
      <c r="C13" s="18">
        <v>294.70999999999998</v>
      </c>
      <c r="D13" s="18">
        <v>127.39</v>
      </c>
      <c r="E13" s="18">
        <v>332.04</v>
      </c>
      <c r="F13" s="18">
        <v>295.95</v>
      </c>
      <c r="G13" s="18">
        <v>4221.3500000000004</v>
      </c>
      <c r="H13" s="18">
        <v>272.39</v>
      </c>
      <c r="I13" s="18">
        <v>441.73</v>
      </c>
      <c r="J13" s="18">
        <f t="shared" si="0"/>
        <v>5985.5600000000013</v>
      </c>
      <c r="K13" s="18">
        <f t="shared" si="1"/>
        <v>1764.21</v>
      </c>
    </row>
    <row r="14" spans="1:11" x14ac:dyDescent="0.35">
      <c r="A14" s="27"/>
      <c r="B14" s="25">
        <v>2016</v>
      </c>
      <c r="C14" s="18">
        <v>295.19</v>
      </c>
      <c r="D14" s="18">
        <v>127.61</v>
      </c>
      <c r="E14" s="18">
        <v>332.6</v>
      </c>
      <c r="F14" s="18">
        <v>296.48</v>
      </c>
      <c r="G14" s="18">
        <v>4832.33</v>
      </c>
      <c r="H14" s="18">
        <v>272.86</v>
      </c>
      <c r="I14" s="18">
        <v>442.5</v>
      </c>
      <c r="J14" s="18">
        <f t="shared" si="0"/>
        <v>6599.57</v>
      </c>
      <c r="K14" s="18">
        <f t="shared" si="1"/>
        <v>1767.2400000000002</v>
      </c>
    </row>
    <row r="15" spans="1:11" x14ac:dyDescent="0.35">
      <c r="A15" s="27"/>
      <c r="B15" s="25">
        <v>2017</v>
      </c>
      <c r="C15" s="18">
        <v>289.41000000000003</v>
      </c>
      <c r="D15" s="18">
        <v>125.09</v>
      </c>
      <c r="E15" s="18">
        <v>326.06</v>
      </c>
      <c r="F15" s="18">
        <v>290.63</v>
      </c>
      <c r="G15" s="18">
        <v>5541.85</v>
      </c>
      <c r="H15" s="18">
        <v>267.54000000000002</v>
      </c>
      <c r="I15" s="18">
        <v>433.79</v>
      </c>
      <c r="J15" s="18">
        <f t="shared" si="0"/>
        <v>7274.3700000000008</v>
      </c>
      <c r="K15" s="18">
        <f t="shared" si="1"/>
        <v>1732.52</v>
      </c>
    </row>
    <row r="16" spans="1:11" x14ac:dyDescent="0.35">
      <c r="A16" s="27"/>
      <c r="B16" s="25">
        <v>2018</v>
      </c>
      <c r="C16" s="18">
        <v>263.43</v>
      </c>
      <c r="D16" s="18">
        <v>107.06</v>
      </c>
      <c r="E16" s="18">
        <v>257.87</v>
      </c>
      <c r="F16" s="18">
        <v>217.91</v>
      </c>
      <c r="G16" s="18">
        <v>5531.54</v>
      </c>
      <c r="H16" s="18">
        <v>243.5</v>
      </c>
      <c r="I16" s="18">
        <v>394.88</v>
      </c>
      <c r="J16" s="18">
        <f t="shared" si="0"/>
        <v>7016.19</v>
      </c>
      <c r="K16" s="18">
        <f t="shared" si="1"/>
        <v>1484.65</v>
      </c>
    </row>
    <row r="17" spans="1:13" x14ac:dyDescent="0.35">
      <c r="A17" s="27"/>
      <c r="B17" s="25">
        <v>2019</v>
      </c>
      <c r="C17" s="18">
        <v>254.33</v>
      </c>
      <c r="D17" s="18">
        <v>103.37</v>
      </c>
      <c r="E17" s="18">
        <v>249.04</v>
      </c>
      <c r="F17" s="18">
        <v>210.36</v>
      </c>
      <c r="G17" s="18">
        <v>6125.88</v>
      </c>
      <c r="H17" s="18">
        <v>235.05</v>
      </c>
      <c r="I17" s="18">
        <v>381.18</v>
      </c>
      <c r="J17" s="18">
        <f t="shared" si="0"/>
        <v>7559.2100000000009</v>
      </c>
      <c r="K17" s="18">
        <f t="shared" si="1"/>
        <v>1433.3300000000002</v>
      </c>
    </row>
    <row r="18" spans="1:13" x14ac:dyDescent="0.35">
      <c r="A18" s="27"/>
      <c r="B18" s="25">
        <v>2020</v>
      </c>
      <c r="C18" s="18">
        <v>258.17</v>
      </c>
      <c r="D18" s="18">
        <v>104.94</v>
      </c>
      <c r="E18" s="18">
        <v>252.74</v>
      </c>
      <c r="F18" s="18">
        <v>213.6</v>
      </c>
      <c r="G18" s="18">
        <v>6106.28</v>
      </c>
      <c r="H18" s="18">
        <v>238.62</v>
      </c>
      <c r="I18" s="18">
        <v>386.94</v>
      </c>
      <c r="J18" s="18">
        <f t="shared" si="0"/>
        <v>7561.2899999999991</v>
      </c>
      <c r="K18" s="18">
        <f t="shared" si="1"/>
        <v>1455.0100000000002</v>
      </c>
    </row>
    <row r="19" spans="1:13" x14ac:dyDescent="0.35">
      <c r="A19" s="28" t="s">
        <v>109</v>
      </c>
      <c r="B19" s="13"/>
      <c r="C19" s="14"/>
      <c r="D19" s="14"/>
      <c r="E19" s="14"/>
      <c r="F19" s="14"/>
      <c r="G19" s="128">
        <f>(G18/G9)^(1/(B18-B9))-1</f>
        <v>8.234861484796907E-2</v>
      </c>
      <c r="H19" s="14"/>
      <c r="I19" s="14"/>
      <c r="J19" s="23">
        <f>(J18/J9)^(1/(B18-B9))-1</f>
        <v>7.2926267195333683E-2</v>
      </c>
      <c r="K19" s="23">
        <f>(K18/K9)^(1/(B18-B9))-1</f>
        <v>4.0545221837045231E-2</v>
      </c>
      <c r="M19" s="1"/>
    </row>
    <row r="22" spans="1:13" x14ac:dyDescent="0.35">
      <c r="C22" s="4"/>
      <c r="D22" s="4"/>
      <c r="E22" s="4"/>
      <c r="F22" s="4"/>
      <c r="G22" s="4"/>
      <c r="H22" s="4"/>
      <c r="I22" s="4"/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8C9096FF040449F01FB45FB079FD5" ma:contentTypeVersion="13" ma:contentTypeDescription="Create a new document." ma:contentTypeScope="" ma:versionID="b02a383b64d0547c55a06ec047e8b25c">
  <xsd:schema xmlns:xsd="http://www.w3.org/2001/XMLSchema" xmlns:xs="http://www.w3.org/2001/XMLSchema" xmlns:p="http://schemas.microsoft.com/office/2006/metadata/properties" xmlns:ns2="4723153b-1ca7-4764-91e6-77e5ad6930c0" xmlns:ns3="b56c1c32-cd5f-4b49-a8a0-e05862c4c439" targetNamespace="http://schemas.microsoft.com/office/2006/metadata/properties" ma:root="true" ma:fieldsID="55e55c7246c78485f41becf0cf2651b9" ns2:_="" ns3:_="">
    <xsd:import namespace="4723153b-1ca7-4764-91e6-77e5ad6930c0"/>
    <xsd:import namespace="b56c1c32-cd5f-4b49-a8a0-e05862c4c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2:MediaServiceLocation" minOccurs="0"/>
                <xsd:element ref="ns3:SharedWithDetails" minOccurs="0"/>
                <xsd:element ref="ns2:MediaServiceOCR" minOccurs="0"/>
                <xsd:element ref="ns2:_Flow_SignoffStatu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3153b-1ca7-4764-91e6-77e5ad693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3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6" nillable="true" ma:displayName="Sign-off status" ma:internalName="_x0024_Resources_x003a_core_x002c_Signoff_Status_x003b_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c1c32-cd5f-4b49-a8a0-e05862c4c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723153b-1ca7-4764-91e6-77e5ad6930c0" xsi:nil="true"/>
  </documentManagement>
</p:properties>
</file>

<file path=customXml/itemProps1.xml><?xml version="1.0" encoding="utf-8"?>
<ds:datastoreItem xmlns:ds="http://schemas.openxmlformats.org/officeDocument/2006/customXml" ds:itemID="{99889914-422A-4D6F-862F-A08EB8572A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FA324-1757-4DB2-8F9F-6B6E2B0A2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23153b-1ca7-4764-91e6-77e5ad6930c0"/>
    <ds:schemaRef ds:uri="b56c1c32-cd5f-4b49-a8a0-e05862c4c4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6DEDAC-A13E-4EE8-9258-4160C019E4C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56c1c32-cd5f-4b49-a8a0-e05862c4c439"/>
    <ds:schemaRef ds:uri="4723153b-1ca7-4764-91e6-77e5ad6930c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Future Value Analysis</vt:lpstr>
      <vt:lpstr>Employees Generated vs. Housed</vt:lpstr>
      <vt:lpstr>Prop Tax Growth (Value Proxy)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Brooke Sausser</cp:lastModifiedBy>
  <dcterms:created xsi:type="dcterms:W3CDTF">2020-11-26T15:17:20Z</dcterms:created>
  <dcterms:modified xsi:type="dcterms:W3CDTF">2021-04-13T15:46:54Z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0x0101000018C9096FF040449F01FB45FB079FD5</vt:lpwstr>
  </property>
</Properties>
</file>